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James\Documents\AAA-OCGA\Canola Documents\Crop Budgets\"/>
    </mc:Choice>
  </mc:AlternateContent>
  <xr:revisionPtr revIDLastSave="0" documentId="8_{3C3BED4C-BFAB-42CF-8826-2FF9E19DDBAE}" xr6:coauthVersionLast="46" xr6:coauthVersionMax="46" xr10:uidLastSave="{00000000-0000-0000-0000-000000000000}"/>
  <bookViews>
    <workbookView xWindow="-108" yWindow="-108" windowWidth="23256" windowHeight="12576" firstSheet="1" activeTab="2" xr2:uid="{00000000-000D-0000-FFFF-FFFF00000000}"/>
  </bookViews>
  <sheets>
    <sheet name="2013 Canola budget (2)" sheetId="2" r:id="rId1"/>
    <sheet name="2015 Canola budget" sheetId="1" r:id="rId2"/>
    <sheet name="2021 Crop Budget" sheetId="4" r:id="rId3"/>
    <sheet name="2016 Canola budget" sheetId="3" r:id="rId4"/>
  </sheets>
  <definedNames>
    <definedName name="_xlnm.Print_Area" localSheetId="0">'2013 Canola budget (2)'!$A$1:$L$42</definedName>
    <definedName name="_xlnm.Print_Area" localSheetId="1">'2015 Canola budget'!$A$1:$L$48</definedName>
    <definedName name="_xlnm.Print_Area" localSheetId="3">'2016 Canola budget'!$A$1:$K$41</definedName>
    <definedName name="_xlnm.Print_Area" localSheetId="2">'2021 Crop Budget'!$A$1:$K$42</definedName>
  </definedNames>
  <calcPr calcId="191029" calcMode="autoNoTable" iterate="1" iterateCount="1" iterateDelta="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6" i="4" l="1"/>
  <c r="J36" i="4"/>
  <c r="I36" i="4"/>
  <c r="H36" i="4"/>
  <c r="G36" i="4"/>
  <c r="F36" i="4"/>
  <c r="E36" i="4"/>
  <c r="D36" i="4"/>
  <c r="C36" i="4"/>
  <c r="K32" i="4"/>
  <c r="K39" i="4" s="1"/>
  <c r="J32" i="4"/>
  <c r="I32" i="4"/>
  <c r="H32" i="4"/>
  <c r="G32" i="4"/>
  <c r="G39" i="4" s="1"/>
  <c r="F32" i="4"/>
  <c r="E32" i="4"/>
  <c r="D32" i="4"/>
  <c r="C32" i="4"/>
  <c r="C39" i="4" s="1"/>
  <c r="C27" i="4"/>
  <c r="K25" i="4"/>
  <c r="J25" i="4"/>
  <c r="I25" i="4"/>
  <c r="H25" i="4"/>
  <c r="G25" i="4"/>
  <c r="F25" i="4"/>
  <c r="E25" i="4"/>
  <c r="D25" i="4"/>
  <c r="C25" i="4"/>
  <c r="F22" i="4"/>
  <c r="G22" i="4" s="1"/>
  <c r="E22" i="4"/>
  <c r="D22" i="4"/>
  <c r="I20" i="4"/>
  <c r="D20" i="4"/>
  <c r="I18" i="4"/>
  <c r="H18" i="4"/>
  <c r="H21" i="4" s="1"/>
  <c r="H23" i="4" s="1"/>
  <c r="F18" i="4"/>
  <c r="E18" i="4"/>
  <c r="C18" i="4"/>
  <c r="H17" i="4"/>
  <c r="G17" i="4"/>
  <c r="D17" i="4"/>
  <c r="N15" i="4"/>
  <c r="J15" i="4"/>
  <c r="G15" i="4"/>
  <c r="G18" i="4" s="1"/>
  <c r="D15" i="4"/>
  <c r="N14" i="4"/>
  <c r="J14" i="4"/>
  <c r="J18" i="4" s="1"/>
  <c r="N12" i="4"/>
  <c r="N13" i="4" s="1"/>
  <c r="K12" i="4"/>
  <c r="K18" i="4" s="1"/>
  <c r="D12" i="4"/>
  <c r="J11" i="4"/>
  <c r="J21" i="4" s="1"/>
  <c r="J23" i="4" s="1"/>
  <c r="I11" i="4"/>
  <c r="H11" i="4"/>
  <c r="G11" i="4"/>
  <c r="F11" i="4"/>
  <c r="E11" i="4"/>
  <c r="C11" i="4"/>
  <c r="K10" i="4"/>
  <c r="K11" i="4" s="1"/>
  <c r="D9" i="4"/>
  <c r="D11" i="4" s="1"/>
  <c r="G21" i="4" l="1"/>
  <c r="C21" i="4"/>
  <c r="C23" i="4" s="1"/>
  <c r="D18" i="4"/>
  <c r="E39" i="4"/>
  <c r="I39" i="4"/>
  <c r="E21" i="4"/>
  <c r="E23" i="4" s="1"/>
  <c r="I21" i="4"/>
  <c r="F39" i="4"/>
  <c r="F40" i="4" s="1"/>
  <c r="J39" i="4"/>
  <c r="F21" i="4"/>
  <c r="F23" i="4" s="1"/>
  <c r="G23" i="4" s="1"/>
  <c r="G26" i="4" s="1"/>
  <c r="D39" i="4"/>
  <c r="H39" i="4"/>
  <c r="H40" i="4" s="1"/>
  <c r="K21" i="4"/>
  <c r="K23" i="4" s="1"/>
  <c r="K26" i="4"/>
  <c r="K27" i="4" s="1"/>
  <c r="H26" i="4"/>
  <c r="H27" i="4" s="1"/>
  <c r="D23" i="4"/>
  <c r="D26" i="4" s="1"/>
  <c r="D21" i="4"/>
  <c r="I23" i="4"/>
  <c r="I26" i="4" s="1"/>
  <c r="I27" i="4" s="1"/>
  <c r="E26" i="4"/>
  <c r="E27" i="4" s="1"/>
  <c r="F26" i="4"/>
  <c r="J26" i="4"/>
  <c r="C26" i="4"/>
  <c r="C40" i="4" s="1"/>
  <c r="N14" i="3"/>
  <c r="N12" i="3"/>
  <c r="N13" i="3" s="1"/>
  <c r="G27" i="4" l="1"/>
  <c r="G33" i="4"/>
  <c r="C33" i="4"/>
  <c r="H33" i="4"/>
  <c r="H37" i="4" s="1"/>
  <c r="K40" i="4"/>
  <c r="D27" i="4"/>
  <c r="D40" i="4"/>
  <c r="D33" i="4"/>
  <c r="I33" i="4"/>
  <c r="I37" i="4" s="1"/>
  <c r="I40" i="4"/>
  <c r="E33" i="4"/>
  <c r="J27" i="4"/>
  <c r="J33" i="4"/>
  <c r="J37" i="4" s="1"/>
  <c r="G40" i="4"/>
  <c r="E40" i="4"/>
  <c r="K33" i="4"/>
  <c r="F27" i="4"/>
  <c r="F33" i="4"/>
  <c r="J40" i="4"/>
  <c r="N15" i="3"/>
  <c r="C41" i="1" l="1"/>
  <c r="K25" i="1"/>
  <c r="E35" i="1" l="1"/>
  <c r="K35" i="1"/>
  <c r="C35" i="2"/>
  <c r="D35" i="2" s="1"/>
  <c r="K35" i="2" s="1"/>
  <c r="K33" i="2"/>
  <c r="J33" i="2"/>
  <c r="G33" i="2"/>
  <c r="F33" i="2"/>
  <c r="E33" i="2"/>
  <c r="L32" i="2"/>
  <c r="L33" i="2" s="1"/>
  <c r="I32" i="2"/>
  <c r="I33" i="2" s="1"/>
  <c r="H32" i="2"/>
  <c r="H33" i="2" s="1"/>
  <c r="C32" i="2"/>
  <c r="C33" i="2" s="1"/>
  <c r="D31" i="2"/>
  <c r="F27" i="2"/>
  <c r="D27" i="2"/>
  <c r="G24" i="2"/>
  <c r="D24" i="2"/>
  <c r="H22" i="2"/>
  <c r="G22" i="2"/>
  <c r="D22" i="2"/>
  <c r="K19" i="2"/>
  <c r="I19" i="2"/>
  <c r="F19" i="2"/>
  <c r="E19" i="2"/>
  <c r="C19" i="2"/>
  <c r="H18" i="2"/>
  <c r="G18" i="2"/>
  <c r="D18" i="2"/>
  <c r="J16" i="2"/>
  <c r="L16" i="2" s="1"/>
  <c r="G16" i="2"/>
  <c r="D16" i="2"/>
  <c r="J15" i="2"/>
  <c r="L15" i="2" s="1"/>
  <c r="D15" i="2"/>
  <c r="J14" i="2"/>
  <c r="H14" i="2"/>
  <c r="G14" i="2"/>
  <c r="D14" i="2"/>
  <c r="L14" i="2" s="1"/>
  <c r="J13" i="2"/>
  <c r="H13" i="2"/>
  <c r="D13" i="2"/>
  <c r="L11" i="2"/>
  <c r="K11" i="2"/>
  <c r="I11" i="2"/>
  <c r="H11" i="2"/>
  <c r="F11" i="2"/>
  <c r="E11" i="2"/>
  <c r="C11" i="2"/>
  <c r="J10" i="2"/>
  <c r="J11" i="2" s="1"/>
  <c r="D9" i="2"/>
  <c r="D8" i="2"/>
  <c r="G7" i="2"/>
  <c r="G11" i="2" s="1"/>
  <c r="D7" i="2"/>
  <c r="H19" i="2" l="1"/>
  <c r="K26" i="2"/>
  <c r="E23" i="2"/>
  <c r="E25" i="2" s="1"/>
  <c r="D19" i="2"/>
  <c r="F23" i="2"/>
  <c r="F25" i="2" s="1"/>
  <c r="G25" i="2" s="1"/>
  <c r="D11" i="2"/>
  <c r="G19" i="2"/>
  <c r="G23" i="2" s="1"/>
  <c r="G26" i="2" s="1"/>
  <c r="C23" i="2"/>
  <c r="C25" i="2" s="1"/>
  <c r="J19" i="2"/>
  <c r="K28" i="2"/>
  <c r="K34" i="2"/>
  <c r="K36" i="2" s="1"/>
  <c r="H23" i="2"/>
  <c r="H25" i="2" s="1"/>
  <c r="I23" i="2"/>
  <c r="I25" i="2" s="1"/>
  <c r="L13" i="2"/>
  <c r="L19" i="2" s="1"/>
  <c r="L23" i="2" s="1"/>
  <c r="L25" i="2" s="1"/>
  <c r="D32" i="2"/>
  <c r="D33" i="2" s="1"/>
  <c r="E26" i="2" l="1"/>
  <c r="E28" i="2" s="1"/>
  <c r="D23" i="2"/>
  <c r="D25" i="2" s="1"/>
  <c r="J23" i="2"/>
  <c r="J25" i="2" s="1"/>
  <c r="I26" i="2"/>
  <c r="I28" i="2" s="1"/>
  <c r="F26" i="2"/>
  <c r="F34" i="2" s="1"/>
  <c r="H26" i="2"/>
  <c r="H28" i="2" s="1"/>
  <c r="C26" i="2"/>
  <c r="G28" i="2"/>
  <c r="G34" i="2"/>
  <c r="E34" i="2"/>
  <c r="L26" i="2"/>
  <c r="F28" i="2" l="1"/>
  <c r="I34" i="2"/>
  <c r="D26" i="2"/>
  <c r="C28" i="2"/>
  <c r="C34" i="2"/>
  <c r="C36" i="2" s="1"/>
  <c r="H34" i="2"/>
  <c r="J26" i="2"/>
  <c r="L28" i="2"/>
  <c r="L34" i="2"/>
  <c r="K36" i="1"/>
  <c r="K19" i="1"/>
  <c r="K11" i="1"/>
  <c r="D28" i="2" l="1"/>
  <c r="D34" i="2"/>
  <c r="D36" i="2" s="1"/>
  <c r="J28" i="2"/>
  <c r="J34" i="2"/>
  <c r="K26" i="1"/>
  <c r="K31" i="1" s="1"/>
  <c r="D41" i="1"/>
  <c r="K41" i="1" s="1"/>
  <c r="L35" i="1"/>
  <c r="L36" i="1"/>
  <c r="L11" i="1"/>
  <c r="G16" i="1"/>
  <c r="G14" i="1"/>
  <c r="D9" i="1"/>
  <c r="E36" i="1"/>
  <c r="E19" i="1"/>
  <c r="E11" i="1"/>
  <c r="G36" i="1"/>
  <c r="F36" i="1"/>
  <c r="J36" i="1"/>
  <c r="I35" i="1"/>
  <c r="I36" i="1"/>
  <c r="H35" i="1"/>
  <c r="H36" i="1" s="1"/>
  <c r="C35" i="1"/>
  <c r="D35" i="1" s="1"/>
  <c r="D34" i="1"/>
  <c r="G24" i="1"/>
  <c r="D24" i="1"/>
  <c r="H22" i="1"/>
  <c r="G22" i="1"/>
  <c r="D22" i="1"/>
  <c r="I19" i="1"/>
  <c r="F19" i="1"/>
  <c r="C19" i="1"/>
  <c r="H18" i="1"/>
  <c r="G18" i="1"/>
  <c r="D18" i="1"/>
  <c r="J16" i="1"/>
  <c r="L16" i="1" s="1"/>
  <c r="D16" i="1"/>
  <c r="J15" i="1"/>
  <c r="D15" i="1"/>
  <c r="J14" i="1"/>
  <c r="J19" i="1" s="1"/>
  <c r="H14" i="1"/>
  <c r="D14" i="1"/>
  <c r="L14" i="1" s="1"/>
  <c r="H13" i="1"/>
  <c r="D13" i="1"/>
  <c r="L13" i="1" s="1"/>
  <c r="F11" i="1"/>
  <c r="C11" i="1"/>
  <c r="J10" i="1"/>
  <c r="J11" i="1" s="1"/>
  <c r="D8" i="1"/>
  <c r="H11" i="1"/>
  <c r="G11" i="1"/>
  <c r="D7" i="1"/>
  <c r="I11" i="1"/>
  <c r="H19" i="1" l="1"/>
  <c r="D36" i="1"/>
  <c r="C36" i="1"/>
  <c r="G19" i="1"/>
  <c r="G26" i="1" s="1"/>
  <c r="C25" i="1"/>
  <c r="E25" i="1"/>
  <c r="K37" i="1"/>
  <c r="K42" i="1" s="1"/>
  <c r="L19" i="1"/>
  <c r="H25" i="1"/>
  <c r="F26" i="1"/>
  <c r="F37" i="1" s="1"/>
  <c r="I25" i="1"/>
  <c r="D19" i="1"/>
  <c r="D11" i="1"/>
  <c r="J25" i="1"/>
  <c r="C26" i="1"/>
  <c r="C31" i="1" s="1"/>
  <c r="E26" i="1"/>
  <c r="E31" i="1" s="1"/>
  <c r="F25" i="1" l="1"/>
  <c r="G25" i="1" s="1"/>
  <c r="H26" i="1"/>
  <c r="H31" i="1" s="1"/>
  <c r="D23" i="1"/>
  <c r="D25" i="1" s="1"/>
  <c r="I26" i="1"/>
  <c r="I31" i="1" s="1"/>
  <c r="L26" i="1"/>
  <c r="L37" i="1" s="1"/>
  <c r="L25" i="1"/>
  <c r="F31" i="1"/>
  <c r="G31" i="1"/>
  <c r="G37" i="1"/>
  <c r="C37" i="1"/>
  <c r="C42" i="1" s="1"/>
  <c r="E37" i="1"/>
  <c r="J26" i="1"/>
  <c r="H37" i="1" l="1"/>
  <c r="H40" i="1" s="1"/>
  <c r="D26" i="1"/>
  <c r="D31" i="1" s="1"/>
  <c r="I37" i="1"/>
  <c r="I40" i="1" s="1"/>
  <c r="L31" i="1"/>
  <c r="J37" i="1"/>
  <c r="J40" i="1" s="1"/>
  <c r="J31" i="1"/>
  <c r="D37" i="1" l="1"/>
  <c r="D4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 John (OMAFRA)</author>
  </authors>
  <commentList>
    <comment ref="A29" authorId="0" shapeId="0" xr:uid="{00000000-0006-0000-0200-000001000000}">
      <text>
        <r>
          <rPr>
            <b/>
            <sz val="9"/>
            <color indexed="81"/>
            <rFont val="Tahoma"/>
            <family val="2"/>
          </rPr>
          <t>Molenhuis, John (OMAFRA):</t>
        </r>
        <r>
          <rPr>
            <sz val="9"/>
            <color indexed="81"/>
            <rFont val="Tahoma"/>
            <family val="2"/>
          </rPr>
          <t xml:space="preserve">
The yields are the reported 10 year average yields from Agricorp except for barley, oats and flax</t>
        </r>
      </text>
    </comment>
  </commentList>
</comments>
</file>

<file path=xl/sharedStrings.xml><?xml version="1.0" encoding="utf-8"?>
<sst xmlns="http://schemas.openxmlformats.org/spreadsheetml/2006/main" count="275" uniqueCount="101">
  <si>
    <t>Corn Multi - trait 150 bu/ac southwest ont</t>
  </si>
  <si>
    <t>Roundup Ready® Canola</t>
  </si>
  <si>
    <t xml:space="preserve">RR Soybeans </t>
  </si>
  <si>
    <t>Barley</t>
  </si>
  <si>
    <t>Milling Oats</t>
  </si>
  <si>
    <t xml:space="preserve">Seed </t>
  </si>
  <si>
    <t>stacked</t>
  </si>
  <si>
    <t>Seed Inoculant, etc</t>
  </si>
  <si>
    <t>Fertilizer</t>
  </si>
  <si>
    <t>n=0.67/lb</t>
  </si>
  <si>
    <t>Fungicide</t>
  </si>
  <si>
    <t>Insecticide</t>
  </si>
  <si>
    <t>rup + residual</t>
  </si>
  <si>
    <t>Total Inputs</t>
  </si>
  <si>
    <t>Tillage</t>
  </si>
  <si>
    <t>plow, cult x 2</t>
  </si>
  <si>
    <t>Planting</t>
  </si>
  <si>
    <t>Spraying</t>
  </si>
  <si>
    <t>Fertilizing</t>
  </si>
  <si>
    <t>Other - eg stone picking</t>
  </si>
  <si>
    <t>Harvesting &amp; trucking</t>
  </si>
  <si>
    <t>comb $45 truck 0.16/bu</t>
  </si>
  <si>
    <t>Total Machinery</t>
  </si>
  <si>
    <t>Drying/aeration</t>
  </si>
  <si>
    <t>Crop insurance -80%</t>
  </si>
  <si>
    <t>Interest @ 5%</t>
  </si>
  <si>
    <t>Sub-total</t>
  </si>
  <si>
    <t>Total Costs</t>
  </si>
  <si>
    <t xml:space="preserve">Price FOB-Port Elgin </t>
  </si>
  <si>
    <t>Breakeven Yield per ac</t>
  </si>
  <si>
    <t>bushel or lb</t>
  </si>
  <si>
    <t>bu</t>
  </si>
  <si>
    <t>lb</t>
  </si>
  <si>
    <t>For Example</t>
  </si>
  <si>
    <t>Price</t>
  </si>
  <si>
    <t>Gross Return</t>
  </si>
  <si>
    <t>Net Return/acre</t>
  </si>
  <si>
    <t>Corn
Multi-trait</t>
  </si>
  <si>
    <t>Liberty Link  Canola</t>
  </si>
  <si>
    <t>Average Yield-bu or t/ac *</t>
  </si>
  <si>
    <t>Wheat Advantage **</t>
  </si>
  <si>
    <t>Canola/Spring Wheat
Net Return/Acre</t>
  </si>
  <si>
    <t>Marketing/Other</t>
  </si>
  <si>
    <t xml:space="preserve">IP Soybeans
$3.00 prem </t>
  </si>
  <si>
    <t>2014 Crop Budgets ($/ac)</t>
  </si>
  <si>
    <t>Flax</t>
  </si>
  <si>
    <t>Herbicide/dessicant</t>
  </si>
  <si>
    <t>White Beans</t>
  </si>
  <si>
    <t>Spring Wheat</t>
  </si>
  <si>
    <t xml:space="preserve">cwt </t>
  </si>
  <si>
    <t xml:space="preserve">Price FOB </t>
  </si>
  <si>
    <t>Average Yield</t>
  </si>
  <si>
    <t>2015 Crop Budgets ($/ac)</t>
  </si>
  <si>
    <t>Fertilizer-Grain (removal)</t>
  </si>
  <si>
    <t>Expenses for Straw</t>
  </si>
  <si>
    <t>Fertlizer (removal)</t>
  </si>
  <si>
    <r>
      <t xml:space="preserve">Gross Return ( </t>
    </r>
    <r>
      <rPr>
        <sz val="11"/>
        <rFont val="Arial"/>
        <family val="2"/>
      </rPr>
      <t>Grain)</t>
    </r>
  </si>
  <si>
    <t>Net Return (grain +Straw)</t>
  </si>
  <si>
    <t>Straw Yield tonnes</t>
  </si>
  <si>
    <t>Return with wheat advantage</t>
  </si>
  <si>
    <t>Straw Price $/tonne</t>
  </si>
  <si>
    <t>Machinery (straw harvest)</t>
  </si>
  <si>
    <t>Corn/Soy Insecticide, Inoculant</t>
  </si>
  <si>
    <t>tonne</t>
  </si>
  <si>
    <t xml:space="preserve">bushel or tonne </t>
  </si>
  <si>
    <t>cwt (100 lb)</t>
  </si>
  <si>
    <t>Spring Wheat (Protein Premium)</t>
  </si>
  <si>
    <t>Interest @ 3.7%</t>
  </si>
  <si>
    <t>Crop insurance - 85%</t>
  </si>
  <si>
    <t xml:space="preserve">RR Soybeans (fung only seed) </t>
  </si>
  <si>
    <t>Insecticide, Inoculant</t>
  </si>
  <si>
    <t>Liberty
Link
Canola</t>
  </si>
  <si>
    <t>Net Return (grain+straw)</t>
  </si>
  <si>
    <t>Grain Sale</t>
  </si>
  <si>
    <t>Straw Sale</t>
  </si>
  <si>
    <t>Total Gross/acre</t>
  </si>
  <si>
    <t>Net Profit/acre</t>
  </si>
  <si>
    <t>Winter Wheat Advantage **</t>
  </si>
  <si>
    <t>Milling
Oats</t>
  </si>
  <si>
    <t>Seed</t>
  </si>
  <si>
    <t>Total Inputs Expense</t>
  </si>
  <si>
    <t>Total Machinery Expense</t>
  </si>
  <si>
    <t>Straw Expenses</t>
  </si>
  <si>
    <t>Total Expenses /acre</t>
  </si>
  <si>
    <r>
      <t xml:space="preserve">Spring
Wheat
</t>
    </r>
    <r>
      <rPr>
        <b/>
        <sz val="9"/>
        <rFont val="Arial"/>
        <family val="2"/>
      </rPr>
      <t>(Protein Premium)</t>
    </r>
  </si>
  <si>
    <r>
      <t xml:space="preserve">Corn
Multi-trait </t>
    </r>
    <r>
      <rPr>
        <b/>
        <sz val="9"/>
        <rFont val="Arial"/>
        <family val="2"/>
      </rPr>
      <t>(fung only seed)</t>
    </r>
  </si>
  <si>
    <t>Total Other Expenses</t>
  </si>
  <si>
    <t>Total Straw Expenses</t>
  </si>
  <si>
    <t>Grain Price FOB *</t>
  </si>
  <si>
    <t>Urea</t>
  </si>
  <si>
    <t>MAP</t>
  </si>
  <si>
    <t>Potash</t>
  </si>
  <si>
    <t>$/MT</t>
  </si>
  <si>
    <t>$/lb nutrient</t>
  </si>
  <si>
    <t>A Sulphate</t>
  </si>
  <si>
    <t>Peas</t>
  </si>
  <si>
    <r>
      <t xml:space="preserve">IP Soys
$3 prem </t>
    </r>
    <r>
      <rPr>
        <b/>
        <sz val="9"/>
        <rFont val="Arial"/>
        <family val="2"/>
      </rPr>
      <t>(fung only seed)</t>
    </r>
  </si>
  <si>
    <t>**Winter Wheat Advantage:Yield loss for winter wheat planted after optimum date is 1 bu/acre. Wheat planted 14 days late at $6.41/bu = $89.74</t>
  </si>
  <si>
    <t>*Use expenses, yields and prices FOB your farm for a true calculation.</t>
  </si>
  <si>
    <t>2020 Crop Budgets ($/ac)</t>
  </si>
  <si>
    <t>2021 Crop Budgets ($/ac)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</si>
</sst>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quot;$&quot;#,##0.00"/>
    <numFmt numFmtId="44" formatCode="_-&quot;$&quot;* #,##0.00_-;\-&quot;$&quot;* #,##0.00_-;_-&quot;$&quot;* &quot;-&quot;??_-;_-@_-"/>
    <numFmt numFmtId="164" formatCode="&quot;$&quot;#,##0.00"/>
    <numFmt numFmtId="165" formatCode="#,##0_ ;\-#,##0\ "/>
    <numFmt numFmtId="166" formatCode="_-[$$-1009]* #,##0.00_-;\-[$$-1009]* #,##0.00_-;_-[$$-1009]* &quot;-&quot;??_-;_-@_-"/>
    <numFmt numFmtId="167" formatCode="_-[$$-1009]* #,##0_-;\-[$$-1009]* #,##0_-;_-[$$-1009]* &quot;-&quot;??_-;_-@_-"/>
  </numFmts>
  <fonts count="11">
    <font>
      <sz val="10"/>
      <name val="Arial"/>
      <family val="2"/>
    </font>
    <font>
      <sz val="10"/>
      <name val="Arial"/>
      <family val="2"/>
    </font>
    <font>
      <b/>
      <sz val="9"/>
      <name val="Arial"/>
      <family val="2"/>
    </font>
    <font>
      <sz val="11"/>
      <name val="Arial"/>
      <family val="2"/>
    </font>
    <font>
      <b/>
      <sz val="11"/>
      <name val="Arial"/>
      <family val="2"/>
    </font>
    <font>
      <b/>
      <sz val="16"/>
      <name val="GillSans"/>
    </font>
    <font>
      <sz val="11"/>
      <color theme="0"/>
      <name val="Arial"/>
      <family val="2"/>
    </font>
    <font>
      <sz val="9"/>
      <color indexed="81"/>
      <name val="Tahoma"/>
      <family val="2"/>
    </font>
    <font>
      <b/>
      <sz val="9"/>
      <color indexed="81"/>
      <name val="Tahoma"/>
      <family val="2"/>
    </font>
    <font>
      <b/>
      <sz val="10"/>
      <name val="Arial"/>
      <family val="2"/>
    </font>
    <font>
      <b/>
      <sz val="12"/>
      <name val="Arial"/>
      <family val="2"/>
    </font>
  </fonts>
  <fills count="12">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rgb="FFDDDDDD"/>
        <bgColor indexed="64"/>
      </patternFill>
    </fill>
    <fill>
      <patternFill patternType="solid">
        <fgColor rgb="FF00FFFF"/>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s>
  <cellStyleXfs count="3">
    <xf numFmtId="0" fontId="0" fillId="0" borderId="0"/>
    <xf numFmtId="44" fontId="1" fillId="0" borderId="0" applyFont="0" applyFill="0" applyBorder="0" applyAlignment="0" applyProtection="0"/>
    <xf numFmtId="44" fontId="1" fillId="0" borderId="0" applyFont="0" applyFill="0" applyBorder="0" applyAlignment="0" applyProtection="0"/>
  </cellStyleXfs>
  <cellXfs count="304">
    <xf numFmtId="0" fontId="0" fillId="0" borderId="0" xfId="0"/>
    <xf numFmtId="0" fontId="0" fillId="0" borderId="0" xfId="0" applyAlignment="1">
      <alignment horizontal="center"/>
    </xf>
    <xf numFmtId="165" fontId="2" fillId="0" borderId="1" xfId="1" applyNumberFormat="1" applyFont="1" applyFill="1" applyBorder="1" applyAlignment="1">
      <alignment horizontal="center" vertical="center" wrapText="1"/>
    </xf>
    <xf numFmtId="0" fontId="3" fillId="0" borderId="2" xfId="0" applyFont="1" applyBorder="1" applyAlignment="1">
      <alignment horizontal="left" vertical="center" wrapText="1"/>
    </xf>
    <xf numFmtId="2" fontId="3" fillId="0" borderId="2" xfId="1" applyNumberFormat="1" applyFont="1" applyBorder="1" applyAlignment="1" applyProtection="1">
      <alignment vertical="center" wrapText="1"/>
      <protection locked="0"/>
    </xf>
    <xf numFmtId="2" fontId="3" fillId="5" borderId="2" xfId="1" applyNumberFormat="1" applyFont="1" applyFill="1" applyBorder="1" applyAlignment="1" applyProtection="1">
      <alignment horizontal="center" vertical="center" wrapText="1"/>
      <protection locked="0"/>
    </xf>
    <xf numFmtId="2" fontId="3" fillId="0" borderId="2" xfId="1" applyNumberFormat="1" applyFont="1" applyBorder="1" applyAlignment="1" applyProtection="1">
      <alignment horizontal="center" vertical="center" wrapText="1"/>
      <protection locked="0"/>
    </xf>
    <xf numFmtId="2" fontId="3" fillId="0" borderId="3" xfId="1" applyNumberFormat="1" applyFont="1" applyBorder="1" applyAlignment="1" applyProtection="1">
      <alignment horizontal="center" vertical="center" wrapText="1"/>
      <protection locked="0"/>
    </xf>
    <xf numFmtId="2" fontId="3" fillId="0" borderId="2" xfId="0" applyNumberFormat="1" applyFont="1" applyBorder="1" applyAlignment="1" applyProtection="1">
      <alignment vertical="center" wrapText="1"/>
      <protection locked="0"/>
    </xf>
    <xf numFmtId="2" fontId="3" fillId="5" borderId="2" xfId="0" applyNumberFormat="1" applyFont="1" applyFill="1" applyBorder="1" applyAlignment="1" applyProtection="1">
      <alignment horizontal="center" vertical="center" wrapText="1"/>
      <protection locked="0"/>
    </xf>
    <xf numFmtId="2" fontId="3" fillId="0" borderId="2" xfId="0" applyNumberFormat="1" applyFont="1" applyBorder="1" applyAlignment="1" applyProtection="1">
      <alignment horizontal="center" vertical="center" wrapText="1"/>
      <protection locked="0"/>
    </xf>
    <xf numFmtId="2" fontId="3" fillId="0" borderId="3" xfId="0" applyNumberFormat="1" applyFont="1" applyBorder="1" applyAlignment="1" applyProtection="1">
      <alignment horizontal="center" vertical="center" wrapText="1"/>
      <protection locked="0"/>
    </xf>
    <xf numFmtId="0" fontId="4" fillId="4" borderId="2" xfId="0" applyFont="1" applyFill="1" applyBorder="1" applyAlignment="1">
      <alignment horizontal="left" vertical="center" wrapText="1"/>
    </xf>
    <xf numFmtId="44" fontId="4" fillId="4" borderId="2" xfId="1" applyFont="1" applyFill="1" applyBorder="1" applyAlignment="1" applyProtection="1">
      <alignment horizontal="center" vertical="center" wrapText="1"/>
    </xf>
    <xf numFmtId="44" fontId="4" fillId="4" borderId="3" xfId="1" applyFont="1" applyFill="1" applyBorder="1" applyAlignment="1" applyProtection="1">
      <alignment horizontal="center" vertical="center" wrapText="1"/>
    </xf>
    <xf numFmtId="0" fontId="3" fillId="0" borderId="2" xfId="0" applyFont="1" applyFill="1" applyBorder="1" applyAlignment="1">
      <alignment horizontal="left" vertical="center" wrapText="1"/>
    </xf>
    <xf numFmtId="2" fontId="3" fillId="0" borderId="2" xfId="0" applyNumberFormat="1" applyFont="1" applyFill="1" applyBorder="1" applyAlignment="1">
      <alignment horizontal="center" vertical="center" wrapText="1"/>
    </xf>
    <xf numFmtId="2" fontId="3" fillId="5" borderId="2" xfId="0" applyNumberFormat="1" applyFont="1" applyFill="1" applyBorder="1" applyAlignment="1">
      <alignment horizontal="center" vertical="center" wrapText="1"/>
    </xf>
    <xf numFmtId="2" fontId="3" fillId="0" borderId="3" xfId="0" applyNumberFormat="1" applyFont="1" applyFill="1" applyBorder="1" applyAlignment="1">
      <alignment horizontal="center" vertical="center" wrapText="1"/>
    </xf>
    <xf numFmtId="2" fontId="3" fillId="0" borderId="2" xfId="0" applyNumberFormat="1" applyFont="1" applyFill="1" applyBorder="1" applyAlignment="1" applyProtection="1">
      <alignment horizontal="center" vertical="center" wrapText="1"/>
      <protection locked="0"/>
    </xf>
    <xf numFmtId="2" fontId="3" fillId="0" borderId="3" xfId="0" applyNumberFormat="1" applyFont="1" applyFill="1" applyBorder="1" applyAlignment="1" applyProtection="1">
      <alignment horizontal="center" vertical="center" wrapText="1"/>
      <protection locked="0"/>
    </xf>
    <xf numFmtId="0" fontId="4" fillId="0" borderId="2" xfId="0" applyFont="1" applyFill="1" applyBorder="1" applyAlignment="1">
      <alignment horizontal="left" vertical="center" wrapText="1"/>
    </xf>
    <xf numFmtId="44" fontId="4" fillId="0" borderId="2" xfId="1" applyFont="1" applyFill="1" applyBorder="1" applyAlignment="1" applyProtection="1">
      <alignment horizontal="center" vertical="center" wrapText="1"/>
    </xf>
    <xf numFmtId="44" fontId="4" fillId="5" borderId="2" xfId="1" applyFont="1" applyFill="1" applyBorder="1" applyAlignment="1" applyProtection="1">
      <alignment horizontal="center" vertical="center" wrapText="1"/>
    </xf>
    <xf numFmtId="44" fontId="4" fillId="0" borderId="3" xfId="1" applyFont="1" applyFill="1" applyBorder="1" applyAlignment="1" applyProtection="1">
      <alignment horizontal="center" vertical="center" wrapText="1"/>
    </xf>
    <xf numFmtId="0" fontId="3" fillId="0" borderId="4" xfId="0" applyFont="1" applyBorder="1" applyAlignment="1">
      <alignment horizontal="left" vertical="center" wrapText="1"/>
    </xf>
    <xf numFmtId="2" fontId="3" fillId="0" borderId="4" xfId="0" applyNumberFormat="1" applyFont="1" applyBorder="1" applyAlignment="1">
      <alignment horizontal="center" vertical="center" wrapText="1"/>
    </xf>
    <xf numFmtId="2" fontId="3" fillId="5" borderId="4" xfId="0" applyNumberFormat="1" applyFont="1" applyFill="1" applyBorder="1" applyAlignment="1">
      <alignment horizontal="center" vertical="center" wrapText="1"/>
    </xf>
    <xf numFmtId="2" fontId="3" fillId="6" borderId="2" xfId="0" applyNumberFormat="1" applyFont="1" applyFill="1" applyBorder="1" applyAlignment="1" applyProtection="1">
      <alignment horizontal="center" vertical="center" wrapText="1"/>
      <protection locked="0"/>
    </xf>
    <xf numFmtId="0" fontId="3" fillId="0" borderId="5" xfId="0" applyFont="1" applyBorder="1" applyAlignment="1">
      <alignment horizontal="left" vertical="center" wrapText="1"/>
    </xf>
    <xf numFmtId="2" fontId="3" fillId="0" borderId="5" xfId="0" applyNumberFormat="1" applyFont="1" applyBorder="1" applyAlignment="1" applyProtection="1">
      <alignment horizontal="center" vertical="center" wrapText="1"/>
      <protection locked="0"/>
    </xf>
    <xf numFmtId="2" fontId="3" fillId="5" borderId="5" xfId="0" applyNumberFormat="1" applyFont="1" applyFill="1" applyBorder="1" applyAlignment="1" applyProtection="1">
      <alignment horizontal="center" vertical="center" wrapText="1"/>
      <protection locked="0"/>
    </xf>
    <xf numFmtId="0" fontId="4" fillId="4" borderId="6" xfId="0" applyFont="1" applyFill="1" applyBorder="1" applyAlignment="1">
      <alignment horizontal="left" vertical="center" wrapText="1"/>
    </xf>
    <xf numFmtId="44" fontId="4" fillId="4" borderId="7" xfId="1" applyFont="1" applyFill="1" applyBorder="1" applyAlignment="1">
      <alignment horizontal="center" vertical="center" wrapText="1"/>
    </xf>
    <xf numFmtId="2" fontId="4" fillId="4" borderId="7" xfId="1" applyNumberFormat="1" applyFont="1" applyFill="1" applyBorder="1" applyAlignment="1">
      <alignment horizontal="center" vertical="center" wrapText="1"/>
    </xf>
    <xf numFmtId="2" fontId="4" fillId="4" borderId="8" xfId="1"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164" fontId="3" fillId="0" borderId="1" xfId="1" applyNumberFormat="1" applyFont="1" applyBorder="1" applyAlignment="1">
      <alignment horizontal="center" vertical="center" wrapText="1"/>
    </xf>
    <xf numFmtId="164" fontId="3" fillId="5" borderId="1" xfId="1"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165" fontId="4" fillId="0" borderId="1" xfId="1" applyNumberFormat="1" applyFont="1" applyFill="1" applyBorder="1" applyAlignment="1">
      <alignment horizontal="center" vertical="center" wrapText="1"/>
    </xf>
    <xf numFmtId="165" fontId="4" fillId="5" borderId="1" xfId="1" applyNumberFormat="1" applyFont="1" applyFill="1" applyBorder="1" applyAlignment="1">
      <alignment horizontal="center" vertical="center" wrapText="1"/>
    </xf>
    <xf numFmtId="44" fontId="3" fillId="0" borderId="1" xfId="1" applyFont="1" applyFill="1" applyBorder="1" applyAlignment="1">
      <alignment horizontal="center" vertical="center" wrapText="1"/>
    </xf>
    <xf numFmtId="44" fontId="3" fillId="5" borderId="1" xfId="1" applyFont="1" applyFill="1" applyBorder="1" applyAlignment="1">
      <alignment horizontal="center" vertical="center" wrapText="1"/>
    </xf>
    <xf numFmtId="0" fontId="4" fillId="0" borderId="0" xfId="0" applyFont="1" applyFill="1" applyBorder="1" applyAlignment="1">
      <alignment horizontal="left" vertical="center" wrapText="1"/>
    </xf>
    <xf numFmtId="44" fontId="3" fillId="0" borderId="0" xfId="1" applyFont="1" applyFill="1" applyBorder="1" applyAlignment="1">
      <alignment horizontal="center" vertical="center" wrapText="1"/>
    </xf>
    <xf numFmtId="44" fontId="3" fillId="5" borderId="0" xfId="1" applyFont="1" applyFill="1" applyBorder="1" applyAlignment="1">
      <alignment horizontal="center" vertical="center" wrapText="1"/>
    </xf>
    <xf numFmtId="44" fontId="3" fillId="0" borderId="9" xfId="1" applyFont="1" applyFill="1" applyBorder="1" applyAlignment="1">
      <alignment horizontal="center" vertical="center" wrapText="1"/>
    </xf>
    <xf numFmtId="0" fontId="3" fillId="0" borderId="6" xfId="0" applyFont="1" applyBorder="1" applyAlignment="1">
      <alignment horizontal="left" vertical="center" wrapText="1"/>
    </xf>
    <xf numFmtId="0" fontId="3" fillId="0" borderId="7" xfId="0" applyFont="1" applyBorder="1" applyAlignment="1">
      <alignment horizontal="center" vertical="center" wrapText="1"/>
    </xf>
    <xf numFmtId="0" fontId="3" fillId="5" borderId="7" xfId="0" applyFont="1" applyFill="1" applyBorder="1" applyAlignment="1">
      <alignment horizontal="center" vertical="center" wrapText="1"/>
    </xf>
    <xf numFmtId="0" fontId="3" fillId="0" borderId="8" xfId="0" applyFont="1" applyBorder="1" applyAlignment="1">
      <alignment horizontal="center" vertical="center" wrapText="1"/>
    </xf>
    <xf numFmtId="164" fontId="3" fillId="0" borderId="2" xfId="0" applyNumberFormat="1" applyFont="1" applyBorder="1" applyAlignment="1">
      <alignment horizontal="center" vertical="center" wrapText="1"/>
    </xf>
    <xf numFmtId="164" fontId="3" fillId="5" borderId="2" xfId="0" applyNumberFormat="1" applyFont="1" applyFill="1" applyBorder="1" applyAlignment="1">
      <alignment horizontal="center" vertical="center" wrapText="1"/>
    </xf>
    <xf numFmtId="164" fontId="3" fillId="0" borderId="3" xfId="0" applyNumberFormat="1" applyFont="1" applyBorder="1" applyAlignment="1">
      <alignment horizontal="center" vertical="center" wrapText="1"/>
    </xf>
    <xf numFmtId="0" fontId="4" fillId="0" borderId="5" xfId="0" applyFont="1" applyBorder="1" applyAlignment="1">
      <alignment horizontal="left" vertical="center" wrapText="1"/>
    </xf>
    <xf numFmtId="164" fontId="3" fillId="0" borderId="5" xfId="0" applyNumberFormat="1" applyFont="1" applyBorder="1" applyAlignment="1">
      <alignment horizontal="center" vertical="center" wrapText="1"/>
    </xf>
    <xf numFmtId="164" fontId="3" fillId="5" borderId="5" xfId="0" applyNumberFormat="1" applyFont="1" applyFill="1" applyBorder="1" applyAlignment="1">
      <alignment horizontal="center" vertical="center" wrapText="1"/>
    </xf>
    <xf numFmtId="164" fontId="3" fillId="0" borderId="10" xfId="1" applyNumberFormat="1" applyFont="1" applyFill="1" applyBorder="1" applyAlignment="1">
      <alignment horizontal="center" vertical="center" wrapText="1"/>
    </xf>
    <xf numFmtId="44" fontId="4" fillId="4" borderId="7" xfId="1" applyFont="1" applyFill="1" applyBorder="1" applyAlignment="1">
      <alignment vertical="center" wrapText="1"/>
    </xf>
    <xf numFmtId="44" fontId="4" fillId="5" borderId="7" xfId="1" applyFont="1" applyFill="1" applyBorder="1" applyAlignment="1">
      <alignment vertical="center" wrapText="1"/>
    </xf>
    <xf numFmtId="44" fontId="4" fillId="4" borderId="8" xfId="1" applyFont="1" applyFill="1" applyBorder="1" applyAlignment="1">
      <alignment vertical="center" wrapText="1"/>
    </xf>
    <xf numFmtId="0" fontId="4" fillId="0" borderId="1" xfId="0" applyFont="1" applyBorder="1" applyAlignment="1">
      <alignment vertical="center"/>
    </xf>
    <xf numFmtId="44" fontId="4" fillId="0" borderId="1" xfId="0" applyNumberFormat="1" applyFont="1" applyBorder="1" applyAlignment="1">
      <alignment vertical="center"/>
    </xf>
    <xf numFmtId="4" fontId="4" fillId="5" borderId="1" xfId="0" applyNumberFormat="1" applyFont="1" applyFill="1" applyBorder="1" applyAlignment="1">
      <alignment horizontal="center" vertical="center"/>
    </xf>
    <xf numFmtId="44" fontId="4" fillId="0" borderId="1" xfId="0" applyNumberFormat="1" applyFont="1" applyBorder="1" applyAlignment="1">
      <alignment horizontal="center" vertical="center"/>
    </xf>
    <xf numFmtId="0" fontId="4" fillId="3" borderId="1" xfId="0" applyFont="1" applyFill="1" applyBorder="1" applyAlignment="1">
      <alignment horizontal="left" vertical="center" wrapText="1"/>
    </xf>
    <xf numFmtId="44" fontId="4" fillId="3" borderId="1" xfId="0" applyNumberFormat="1" applyFont="1" applyFill="1" applyBorder="1" applyAlignment="1">
      <alignment vertical="center"/>
    </xf>
    <xf numFmtId="44" fontId="4" fillId="5" borderId="1" xfId="0" applyNumberFormat="1" applyFont="1" applyFill="1" applyBorder="1" applyAlignment="1">
      <alignment horizontal="center" vertical="center"/>
    </xf>
    <xf numFmtId="44" fontId="4" fillId="3" borderId="1" xfId="0" applyNumberFormat="1" applyFont="1" applyFill="1" applyBorder="1" applyAlignment="1">
      <alignment horizontal="center" vertical="center"/>
    </xf>
    <xf numFmtId="0" fontId="3" fillId="0" borderId="0" xfId="0" applyFont="1"/>
    <xf numFmtId="0" fontId="3" fillId="0" borderId="0" xfId="0" applyFont="1" applyAlignment="1">
      <alignment horizontal="center"/>
    </xf>
    <xf numFmtId="0" fontId="4" fillId="5" borderId="6" xfId="0" applyFont="1" applyFill="1" applyBorder="1" applyAlignment="1">
      <alignment horizontal="left" vertical="center" wrapText="1"/>
    </xf>
    <xf numFmtId="44" fontId="4" fillId="5" borderId="7" xfId="1" applyFont="1" applyFill="1" applyBorder="1" applyAlignment="1">
      <alignment horizontal="center" vertical="center" wrapText="1"/>
    </xf>
    <xf numFmtId="2" fontId="4" fillId="5" borderId="7" xfId="1" applyNumberFormat="1" applyFont="1" applyFill="1" applyBorder="1" applyAlignment="1">
      <alignment horizontal="center" vertical="center" wrapText="1"/>
    </xf>
    <xf numFmtId="0" fontId="4" fillId="6" borderId="2" xfId="0" applyFont="1" applyFill="1" applyBorder="1" applyAlignment="1">
      <alignment vertical="center" wrapText="1"/>
    </xf>
    <xf numFmtId="44" fontId="4" fillId="6" borderId="2" xfId="1" applyFont="1" applyFill="1" applyBorder="1" applyAlignment="1" applyProtection="1">
      <alignment vertical="center" wrapText="1"/>
    </xf>
    <xf numFmtId="44" fontId="4" fillId="6" borderId="3" xfId="1" applyFont="1" applyFill="1" applyBorder="1" applyAlignment="1" applyProtection="1">
      <alignment vertical="center" wrapText="1"/>
    </xf>
    <xf numFmtId="44" fontId="4" fillId="4" borderId="3" xfId="1" applyFont="1" applyFill="1" applyBorder="1" applyAlignment="1" applyProtection="1">
      <alignment vertical="center" wrapText="1"/>
    </xf>
    <xf numFmtId="0" fontId="0" fillId="0" borderId="0" xfId="0" applyAlignment="1"/>
    <xf numFmtId="44" fontId="4" fillId="6" borderId="1" xfId="1" applyFont="1" applyFill="1" applyBorder="1" applyAlignment="1">
      <alignment horizontal="center" vertical="center" wrapText="1"/>
    </xf>
    <xf numFmtId="0" fontId="4" fillId="6" borderId="19" xfId="0" applyFont="1" applyFill="1" applyBorder="1" applyAlignment="1">
      <alignment horizontal="left" vertical="center" wrapText="1"/>
    </xf>
    <xf numFmtId="44" fontId="4" fillId="6" borderId="20" xfId="1" applyFont="1" applyFill="1" applyBorder="1" applyAlignment="1">
      <alignment horizontal="center" vertical="center" wrapText="1"/>
    </xf>
    <xf numFmtId="2" fontId="4" fillId="6" borderId="20" xfId="1" applyNumberFormat="1" applyFont="1" applyFill="1" applyBorder="1" applyAlignment="1">
      <alignment horizontal="center" vertical="center" wrapText="1"/>
    </xf>
    <xf numFmtId="0" fontId="3" fillId="6" borderId="1" xfId="0" applyFont="1" applyFill="1" applyBorder="1" applyAlignment="1">
      <alignment horizontal="left" vertical="center" wrapText="1"/>
    </xf>
    <xf numFmtId="44" fontId="3" fillId="6" borderId="1" xfId="1" applyFont="1" applyFill="1" applyBorder="1" applyAlignment="1">
      <alignment horizontal="center" vertical="center" wrapText="1"/>
    </xf>
    <xf numFmtId="2" fontId="3" fillId="6" borderId="1" xfId="1" applyNumberFormat="1" applyFont="1" applyFill="1" applyBorder="1" applyAlignment="1">
      <alignment horizontal="center" vertical="center" wrapText="1"/>
    </xf>
    <xf numFmtId="2" fontId="3" fillId="6" borderId="1" xfId="1" applyNumberFormat="1" applyFont="1" applyFill="1" applyBorder="1" applyAlignment="1">
      <alignment vertical="center" wrapText="1"/>
    </xf>
    <xf numFmtId="0" fontId="3" fillId="6" borderId="19" xfId="0" applyFont="1" applyFill="1" applyBorder="1" applyAlignment="1">
      <alignment horizontal="left" vertical="center" wrapText="1"/>
    </xf>
    <xf numFmtId="44" fontId="3" fillId="6" borderId="20" xfId="1" applyFont="1" applyFill="1" applyBorder="1" applyAlignment="1">
      <alignment vertical="center" wrapText="1"/>
    </xf>
    <xf numFmtId="0" fontId="4" fillId="7" borderId="19" xfId="0" applyFont="1" applyFill="1" applyBorder="1" applyAlignment="1">
      <alignment horizontal="left" vertical="center" wrapText="1"/>
    </xf>
    <xf numFmtId="44" fontId="4" fillId="7" borderId="20" xfId="1" applyFont="1" applyFill="1" applyBorder="1" applyAlignment="1">
      <alignment vertical="center" wrapText="1"/>
    </xf>
    <xf numFmtId="2" fontId="4" fillId="6" borderId="0" xfId="1" applyNumberFormat="1" applyFont="1" applyFill="1" applyBorder="1" applyAlignment="1">
      <alignment horizontal="center" vertical="center" wrapText="1"/>
    </xf>
    <xf numFmtId="44" fontId="6" fillId="6" borderId="0" xfId="1" applyFont="1" applyFill="1" applyBorder="1" applyAlignment="1">
      <alignment horizontal="center" vertical="center" wrapText="1"/>
    </xf>
    <xf numFmtId="44" fontId="3" fillId="0" borderId="8" xfId="1" applyFont="1" applyFill="1" applyBorder="1" applyAlignment="1">
      <alignment horizontal="center" vertical="center" wrapText="1"/>
    </xf>
    <xf numFmtId="0" fontId="4" fillId="7" borderId="24" xfId="0" applyFont="1" applyFill="1" applyBorder="1" applyAlignment="1">
      <alignment horizontal="left" vertical="center" wrapText="1"/>
    </xf>
    <xf numFmtId="164" fontId="3" fillId="7" borderId="24" xfId="1" applyNumberFormat="1" applyFont="1" applyFill="1" applyBorder="1" applyAlignment="1">
      <alignment horizontal="center" vertical="center" wrapText="1"/>
    </xf>
    <xf numFmtId="0" fontId="3" fillId="6" borderId="25" xfId="0" applyFont="1" applyFill="1" applyBorder="1" applyAlignment="1">
      <alignment horizontal="left" vertical="center" wrapText="1"/>
    </xf>
    <xf numFmtId="44" fontId="4" fillId="6" borderId="25" xfId="1" applyFont="1" applyFill="1" applyBorder="1" applyAlignment="1">
      <alignment horizontal="center" vertical="center" wrapText="1"/>
    </xf>
    <xf numFmtId="44" fontId="3" fillId="6" borderId="25" xfId="1" applyFont="1" applyFill="1" applyBorder="1" applyAlignment="1">
      <alignment horizontal="center" vertical="center" wrapText="1"/>
    </xf>
    <xf numFmtId="2" fontId="3" fillId="6" borderId="25" xfId="1" applyNumberFormat="1" applyFont="1" applyFill="1" applyBorder="1" applyAlignment="1">
      <alignment horizontal="center" vertical="center" wrapText="1"/>
    </xf>
    <xf numFmtId="2" fontId="4" fillId="5" borderId="1" xfId="1" applyNumberFormat="1" applyFont="1" applyFill="1" applyBorder="1" applyAlignment="1">
      <alignment horizontal="center" vertical="center" wrapText="1"/>
    </xf>
    <xf numFmtId="0" fontId="3" fillId="8" borderId="8" xfId="0" applyFont="1" applyFill="1" applyBorder="1" applyAlignment="1">
      <alignment horizontal="center" vertical="center" wrapText="1"/>
    </xf>
    <xf numFmtId="0" fontId="4" fillId="8" borderId="6" xfId="0" applyFont="1" applyFill="1" applyBorder="1" applyAlignment="1">
      <alignment horizontal="left" vertical="center" wrapText="1"/>
    </xf>
    <xf numFmtId="0" fontId="4" fillId="8" borderId="7" xfId="0" applyFont="1" applyFill="1" applyBorder="1" applyAlignment="1">
      <alignment horizontal="center" vertical="center" wrapText="1"/>
    </xf>
    <xf numFmtId="0" fontId="3" fillId="8" borderId="7" xfId="0"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7" fontId="4" fillId="4" borderId="7" xfId="1" applyNumberFormat="1" applyFont="1" applyFill="1" applyBorder="1" applyAlignment="1">
      <alignment horizontal="center" vertical="center" wrapText="1"/>
    </xf>
    <xf numFmtId="7" fontId="4" fillId="4" borderId="8" xfId="1" applyNumberFormat="1" applyFont="1" applyFill="1" applyBorder="1" applyAlignment="1">
      <alignment horizontal="center" vertical="center" wrapText="1"/>
    </xf>
    <xf numFmtId="7" fontId="4" fillId="5" borderId="7" xfId="1" applyNumberFormat="1" applyFont="1" applyFill="1" applyBorder="1" applyAlignment="1">
      <alignment horizontal="center" vertical="center" wrapText="1"/>
    </xf>
    <xf numFmtId="4" fontId="3" fillId="6" borderId="1" xfId="1" applyNumberFormat="1" applyFont="1" applyFill="1" applyBorder="1" applyAlignment="1">
      <alignment vertical="center" wrapText="1"/>
    </xf>
    <xf numFmtId="4" fontId="3" fillId="6" borderId="1" xfId="1" applyNumberFormat="1" applyFont="1" applyFill="1" applyBorder="1" applyAlignment="1">
      <alignment horizontal="center" vertical="center" wrapText="1"/>
    </xf>
    <xf numFmtId="4" fontId="4" fillId="7" borderId="1" xfId="1" applyNumberFormat="1" applyFont="1" applyFill="1" applyBorder="1" applyAlignment="1">
      <alignment vertical="center" wrapText="1"/>
    </xf>
    <xf numFmtId="4" fontId="4" fillId="7" borderId="1" xfId="1" applyNumberFormat="1" applyFont="1" applyFill="1" applyBorder="1" applyAlignment="1">
      <alignment horizontal="center" vertical="center" wrapText="1"/>
    </xf>
    <xf numFmtId="4" fontId="4" fillId="0" borderId="1" xfId="0" applyNumberFormat="1" applyFont="1" applyBorder="1" applyAlignment="1">
      <alignment horizontal="center" vertical="center"/>
    </xf>
    <xf numFmtId="164" fontId="3" fillId="6" borderId="1" xfId="1" applyNumberFormat="1" applyFont="1" applyFill="1" applyBorder="1" applyAlignment="1">
      <alignment horizontal="center" vertical="center" wrapText="1"/>
    </xf>
    <xf numFmtId="164" fontId="4" fillId="7" borderId="1" xfId="1" applyNumberFormat="1" applyFont="1" applyFill="1" applyBorder="1" applyAlignment="1">
      <alignment horizontal="center" vertical="center" wrapText="1"/>
    </xf>
    <xf numFmtId="164" fontId="4" fillId="5" borderId="1" xfId="0" applyNumberFormat="1" applyFont="1" applyFill="1" applyBorder="1" applyAlignment="1">
      <alignment horizontal="center" vertical="center"/>
    </xf>
    <xf numFmtId="164" fontId="4" fillId="3" borderId="1" xfId="0" applyNumberFormat="1" applyFont="1" applyFill="1" applyBorder="1" applyAlignment="1">
      <alignment horizontal="center" vertical="center"/>
    </xf>
    <xf numFmtId="2" fontId="4" fillId="5" borderId="20" xfId="1" applyNumberFormat="1" applyFont="1" applyFill="1" applyBorder="1" applyAlignment="1">
      <alignment horizontal="center" vertical="center" wrapText="1"/>
    </xf>
    <xf numFmtId="0" fontId="0" fillId="6"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9" fillId="0" borderId="1" xfId="0" applyFont="1" applyBorder="1" applyAlignment="1">
      <alignment vertical="center"/>
    </xf>
    <xf numFmtId="4" fontId="9" fillId="0" borderId="1" xfId="0" applyNumberFormat="1" applyFont="1" applyBorder="1" applyAlignment="1">
      <alignment horizontal="center" vertical="center"/>
    </xf>
    <xf numFmtId="0" fontId="0" fillId="0" borderId="1" xfId="0" applyFont="1" applyBorder="1" applyAlignment="1">
      <alignment horizontal="left" vertical="center" wrapText="1"/>
    </xf>
    <xf numFmtId="2" fontId="3" fillId="0" borderId="1" xfId="1" applyNumberFormat="1" applyFont="1" applyBorder="1" applyAlignment="1" applyProtection="1">
      <alignment vertical="center" wrapText="1"/>
      <protection locked="0"/>
    </xf>
    <xf numFmtId="2" fontId="3" fillId="0" borderId="1" xfId="0" applyNumberFormat="1" applyFont="1" applyBorder="1" applyAlignment="1" applyProtection="1">
      <alignment vertical="center" wrapText="1"/>
      <protection locked="0"/>
    </xf>
    <xf numFmtId="2" fontId="3" fillId="0" borderId="1" xfId="0" applyNumberFormat="1" applyFont="1" applyBorder="1" applyAlignment="1" applyProtection="1">
      <alignment horizontal="center" vertical="center" wrapText="1"/>
      <protection locked="0"/>
    </xf>
    <xf numFmtId="0" fontId="9" fillId="6" borderId="1" xfId="0" applyFont="1" applyFill="1" applyBorder="1" applyAlignment="1">
      <alignment vertical="center" wrapText="1"/>
    </xf>
    <xf numFmtId="2" fontId="3"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lignment horizontal="left" vertical="center" wrapText="1"/>
    </xf>
    <xf numFmtId="44" fontId="4" fillId="0" borderId="1" xfId="1" applyFont="1" applyFill="1" applyBorder="1" applyAlignment="1" applyProtection="1">
      <alignment horizontal="center" vertical="center" wrapText="1"/>
    </xf>
    <xf numFmtId="2" fontId="1" fillId="0" borderId="1" xfId="1" applyNumberFormat="1" applyFont="1" applyBorder="1" applyAlignment="1" applyProtection="1">
      <alignment horizontal="center" vertical="center" wrapText="1"/>
      <protection locked="0"/>
    </xf>
    <xf numFmtId="2" fontId="1" fillId="0" borderId="1" xfId="0" applyNumberFormat="1" applyFont="1" applyBorder="1" applyAlignment="1" applyProtection="1">
      <alignment horizontal="center" vertical="center" wrapText="1"/>
      <protection locked="0"/>
    </xf>
    <xf numFmtId="44" fontId="9" fillId="6" borderId="1" xfId="1" applyFont="1" applyFill="1" applyBorder="1" applyAlignment="1" applyProtection="1">
      <alignment vertical="center" wrapText="1"/>
    </xf>
    <xf numFmtId="44" fontId="9" fillId="0" borderId="1" xfId="1" applyFont="1" applyFill="1" applyBorder="1" applyAlignment="1" applyProtection="1">
      <alignment vertical="center" wrapText="1"/>
    </xf>
    <xf numFmtId="2" fontId="1" fillId="0" borderId="1" xfId="0" applyNumberFormat="1" applyFont="1" applyFill="1" applyBorder="1" applyAlignment="1" applyProtection="1">
      <alignment horizontal="center" vertical="center" wrapText="1"/>
      <protection locked="0"/>
    </xf>
    <xf numFmtId="44" fontId="9" fillId="0" borderId="1" xfId="1" applyFont="1" applyFill="1" applyBorder="1" applyAlignment="1" applyProtection="1">
      <alignment horizontal="center" vertical="center" wrapText="1"/>
    </xf>
    <xf numFmtId="44" fontId="9" fillId="0" borderId="1" xfId="1" applyNumberFormat="1" applyFont="1" applyFill="1" applyBorder="1" applyAlignment="1" applyProtection="1">
      <alignment horizontal="center" vertical="center" wrapText="1"/>
    </xf>
    <xf numFmtId="44" fontId="1" fillId="6" borderId="1" xfId="1" applyFont="1" applyFill="1" applyBorder="1" applyAlignment="1">
      <alignment horizontal="center" vertical="center" wrapText="1"/>
    </xf>
    <xf numFmtId="2" fontId="1" fillId="6" borderId="1" xfId="1" applyNumberFormat="1" applyFont="1" applyFill="1" applyBorder="1" applyAlignment="1">
      <alignment horizontal="center" vertical="center" wrapText="1"/>
    </xf>
    <xf numFmtId="165" fontId="9" fillId="0" borderId="1" xfId="1" applyNumberFormat="1" applyFont="1" applyFill="1" applyBorder="1" applyAlignment="1">
      <alignment horizontal="center" vertical="center" wrapText="1"/>
    </xf>
    <xf numFmtId="44" fontId="1" fillId="0" borderId="1" xfId="1" applyFont="1" applyFill="1" applyBorder="1" applyAlignment="1">
      <alignment horizontal="center" vertical="center" wrapText="1"/>
    </xf>
    <xf numFmtId="164" fontId="1" fillId="0" borderId="1" xfId="0" applyNumberFormat="1" applyFont="1" applyBorder="1" applyAlignment="1">
      <alignment horizontal="center" vertical="center" wrapText="1"/>
    </xf>
    <xf numFmtId="2" fontId="1" fillId="6" borderId="1" xfId="0" applyNumberFormat="1" applyFont="1" applyFill="1" applyBorder="1" applyAlignment="1" applyProtection="1">
      <alignment horizontal="center" vertical="center" wrapText="1"/>
      <protection locked="0"/>
    </xf>
    <xf numFmtId="0" fontId="9" fillId="5" borderId="1" xfId="0" applyFont="1" applyFill="1" applyBorder="1" applyAlignment="1">
      <alignment horizontal="left" vertical="center" wrapText="1"/>
    </xf>
    <xf numFmtId="44" fontId="4" fillId="5" borderId="1" xfId="1" applyFont="1" applyFill="1" applyBorder="1" applyAlignment="1">
      <alignment horizontal="center" vertical="center" wrapText="1"/>
    </xf>
    <xf numFmtId="44" fontId="9" fillId="5" borderId="1" xfId="1" applyFont="1" applyFill="1" applyBorder="1" applyAlignment="1">
      <alignment horizontal="center" vertical="center" wrapText="1"/>
    </xf>
    <xf numFmtId="0" fontId="9" fillId="6" borderId="1" xfId="0" applyFont="1" applyFill="1" applyBorder="1" applyAlignment="1">
      <alignment horizontal="left" vertical="center" wrapText="1"/>
    </xf>
    <xf numFmtId="0" fontId="4" fillId="4" borderId="1" xfId="0" applyFont="1" applyFill="1" applyBorder="1" applyAlignment="1">
      <alignment horizontal="center" vertical="center" wrapText="1"/>
    </xf>
    <xf numFmtId="164" fontId="3" fillId="0" borderId="1" xfId="0" applyNumberFormat="1" applyFont="1" applyBorder="1" applyAlignment="1">
      <alignment horizontal="center" vertical="center" wrapText="1"/>
    </xf>
    <xf numFmtId="44" fontId="4" fillId="4" borderId="1" xfId="1" applyFont="1" applyFill="1" applyBorder="1" applyAlignment="1">
      <alignment vertical="center" wrapText="1"/>
    </xf>
    <xf numFmtId="2" fontId="9" fillId="0" borderId="1" xfId="0" applyNumberFormat="1" applyFont="1" applyBorder="1" applyAlignment="1" applyProtection="1">
      <alignment horizontal="center" vertical="center" wrapText="1"/>
      <protection locked="0"/>
    </xf>
    <xf numFmtId="0" fontId="4" fillId="5" borderId="1" xfId="0" applyFont="1" applyFill="1" applyBorder="1" applyAlignment="1">
      <alignment horizontal="left" vertical="center" wrapText="1"/>
    </xf>
    <xf numFmtId="44" fontId="0" fillId="6" borderId="1" xfId="1" applyFont="1" applyFill="1" applyBorder="1" applyAlignment="1">
      <alignment vertical="center" wrapText="1"/>
    </xf>
    <xf numFmtId="2" fontId="0" fillId="6" borderId="1" xfId="1" applyNumberFormat="1" applyFont="1" applyFill="1" applyBorder="1" applyAlignment="1">
      <alignment vertical="center" wrapText="1"/>
    </xf>
    <xf numFmtId="2" fontId="0" fillId="6" borderId="1" xfId="1" applyNumberFormat="1" applyFont="1" applyFill="1" applyBorder="1" applyAlignment="1">
      <alignment horizontal="center" vertical="center" wrapText="1"/>
    </xf>
    <xf numFmtId="4" fontId="0" fillId="6" borderId="1" xfId="1" applyNumberFormat="1" applyFont="1" applyFill="1" applyBorder="1" applyAlignment="1">
      <alignment vertical="center" wrapText="1"/>
    </xf>
    <xf numFmtId="4" fontId="0" fillId="6" borderId="1" xfId="1" applyNumberFormat="1" applyFont="1" applyFill="1" applyBorder="1" applyAlignment="1">
      <alignment horizontal="center" vertical="center" wrapText="1"/>
    </xf>
    <xf numFmtId="164" fontId="0" fillId="6" borderId="1" xfId="1" applyNumberFormat="1" applyFont="1" applyFill="1" applyBorder="1" applyAlignment="1">
      <alignment horizontal="center" vertical="center" wrapText="1"/>
    </xf>
    <xf numFmtId="44" fontId="9" fillId="7" borderId="1" xfId="1" applyFont="1" applyFill="1" applyBorder="1" applyAlignment="1">
      <alignment vertical="center" wrapText="1"/>
    </xf>
    <xf numFmtId="4" fontId="9" fillId="7" borderId="1" xfId="1" applyNumberFormat="1" applyFont="1" applyFill="1" applyBorder="1" applyAlignment="1">
      <alignment vertical="center" wrapText="1"/>
    </xf>
    <xf numFmtId="4" fontId="9" fillId="7" borderId="1" xfId="1" applyNumberFormat="1" applyFont="1" applyFill="1" applyBorder="1" applyAlignment="1">
      <alignment horizontal="center" vertical="center" wrapText="1"/>
    </xf>
    <xf numFmtId="164" fontId="9" fillId="7" borderId="1" xfId="1" applyNumberFormat="1" applyFont="1" applyFill="1" applyBorder="1" applyAlignment="1">
      <alignment horizontal="center" vertical="center" wrapText="1"/>
    </xf>
    <xf numFmtId="44" fontId="9" fillId="0" borderId="1" xfId="0" applyNumberFormat="1" applyFont="1" applyBorder="1" applyAlignment="1">
      <alignment vertical="center"/>
    </xf>
    <xf numFmtId="4" fontId="9" fillId="5" borderId="1" xfId="0" applyNumberFormat="1" applyFont="1" applyFill="1" applyBorder="1" applyAlignment="1">
      <alignment horizontal="center" vertical="center"/>
    </xf>
    <xf numFmtId="2" fontId="1" fillId="6" borderId="1" xfId="1" applyNumberFormat="1" applyFont="1" applyFill="1" applyBorder="1" applyAlignment="1" applyProtection="1">
      <alignment horizontal="center" vertical="center" wrapText="1"/>
      <protection locked="0"/>
    </xf>
    <xf numFmtId="44" fontId="9" fillId="6" borderId="1" xfId="1" applyFont="1" applyFill="1" applyBorder="1" applyAlignment="1" applyProtection="1">
      <alignment horizontal="center" vertical="center" wrapText="1"/>
    </xf>
    <xf numFmtId="2" fontId="9" fillId="6" borderId="1" xfId="0" applyNumberFormat="1" applyFont="1" applyFill="1" applyBorder="1" applyAlignment="1" applyProtection="1">
      <alignment horizontal="center" vertical="center" wrapText="1"/>
      <protection locked="0"/>
    </xf>
    <xf numFmtId="2" fontId="9" fillId="6" borderId="1" xfId="1" applyNumberFormat="1" applyFont="1" applyFill="1" applyBorder="1" applyAlignment="1">
      <alignment horizontal="center" vertical="center" wrapText="1"/>
    </xf>
    <xf numFmtId="164" fontId="1" fillId="6" borderId="1" xfId="0" applyNumberFormat="1" applyFont="1" applyFill="1" applyBorder="1" applyAlignment="1">
      <alignment horizontal="center" vertical="center" wrapText="1"/>
    </xf>
    <xf numFmtId="7" fontId="9" fillId="6" borderId="1" xfId="1" applyNumberFormat="1" applyFont="1" applyFill="1" applyBorder="1" applyAlignment="1">
      <alignment horizontal="center" vertical="center" wrapText="1"/>
    </xf>
    <xf numFmtId="4" fontId="9" fillId="6" borderId="1" xfId="1" applyNumberFormat="1" applyFont="1" applyFill="1" applyBorder="1" applyAlignment="1">
      <alignment vertical="center" wrapText="1"/>
    </xf>
    <xf numFmtId="0" fontId="9" fillId="9" borderId="1" xfId="0" applyFont="1" applyFill="1" applyBorder="1" applyAlignment="1">
      <alignment horizontal="center" vertical="center" wrapText="1"/>
    </xf>
    <xf numFmtId="0" fontId="0" fillId="9" borderId="1" xfId="0" applyFont="1" applyFill="1" applyBorder="1" applyAlignment="1">
      <alignment horizontal="center" vertical="center" wrapText="1"/>
    </xf>
    <xf numFmtId="0" fontId="9" fillId="9"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0" xfId="0" applyFill="1"/>
    <xf numFmtId="164" fontId="4" fillId="0" borderId="1" xfId="0" applyNumberFormat="1" applyFont="1" applyBorder="1" applyAlignment="1">
      <alignment horizontal="center" vertical="center" wrapText="1"/>
    </xf>
    <xf numFmtId="164" fontId="9" fillId="6" borderId="1" xfId="0" applyNumberFormat="1" applyFont="1" applyFill="1" applyBorder="1" applyAlignment="1">
      <alignment horizontal="center" vertical="center" wrapText="1"/>
    </xf>
    <xf numFmtId="164" fontId="9" fillId="0" borderId="1" xfId="0" applyNumberFormat="1" applyFont="1" applyBorder="1" applyAlignment="1">
      <alignment horizontal="center" vertical="center" wrapText="1"/>
    </xf>
    <xf numFmtId="164" fontId="9" fillId="0" borderId="1" xfId="1" applyNumberFormat="1" applyFont="1" applyFill="1" applyBorder="1" applyAlignment="1">
      <alignment horizontal="center" vertical="center" wrapText="1"/>
    </xf>
    <xf numFmtId="44" fontId="9" fillId="6" borderId="1" xfId="1" applyFont="1" applyFill="1" applyBorder="1" applyAlignment="1">
      <alignment vertical="center" wrapText="1"/>
    </xf>
    <xf numFmtId="164" fontId="9" fillId="6" borderId="1" xfId="1" applyNumberFormat="1" applyFont="1" applyFill="1" applyBorder="1" applyAlignment="1">
      <alignment horizontal="center" vertical="center" wrapText="1"/>
    </xf>
    <xf numFmtId="0" fontId="0" fillId="0" borderId="1" xfId="0" applyFont="1" applyBorder="1" applyAlignment="1">
      <alignment horizontal="center"/>
    </xf>
    <xf numFmtId="0" fontId="4" fillId="5" borderId="1" xfId="0" applyFont="1" applyFill="1" applyBorder="1" applyAlignment="1">
      <alignment vertical="center"/>
    </xf>
    <xf numFmtId="0" fontId="10" fillId="5" borderId="1" xfId="0" applyFont="1" applyFill="1" applyBorder="1" applyAlignment="1">
      <alignment vertical="center"/>
    </xf>
    <xf numFmtId="44" fontId="10" fillId="0" borderId="1" xfId="0" applyNumberFormat="1" applyFont="1" applyBorder="1" applyAlignment="1">
      <alignment vertical="center"/>
    </xf>
    <xf numFmtId="0" fontId="10" fillId="0" borderId="0" xfId="0" applyFont="1" applyFill="1" applyBorder="1" applyAlignment="1">
      <alignment horizontal="left" vertical="center"/>
    </xf>
    <xf numFmtId="0" fontId="9" fillId="0" borderId="1" xfId="0" applyFont="1" applyBorder="1" applyAlignment="1">
      <alignment horizontal="left" vertical="center" wrapText="1"/>
    </xf>
    <xf numFmtId="2" fontId="4" fillId="0" borderId="1" xfId="0" applyNumberFormat="1" applyFont="1" applyBorder="1" applyAlignment="1" applyProtection="1">
      <alignment horizontal="center" vertical="center" wrapText="1"/>
      <protection locked="0"/>
    </xf>
    <xf numFmtId="0" fontId="9" fillId="0" borderId="0" xfId="0" applyFont="1"/>
    <xf numFmtId="166" fontId="0" fillId="0" borderId="0" xfId="0" applyNumberFormat="1"/>
    <xf numFmtId="44" fontId="0" fillId="0" borderId="0" xfId="1" applyFont="1"/>
    <xf numFmtId="167" fontId="0" fillId="0" borderId="0" xfId="1" applyNumberFormat="1" applyFont="1"/>
    <xf numFmtId="44" fontId="3" fillId="0" borderId="1" xfId="2" applyFont="1" applyFill="1" applyBorder="1" applyAlignment="1">
      <alignment horizontal="center" vertical="center" wrapText="1"/>
    </xf>
    <xf numFmtId="44" fontId="4" fillId="0" borderId="1" xfId="0" applyNumberFormat="1" applyFont="1" applyBorder="1" applyAlignment="1">
      <alignment vertical="center"/>
    </xf>
    <xf numFmtId="4" fontId="4" fillId="5" borderId="1" xfId="0" applyNumberFormat="1" applyFont="1" applyFill="1" applyBorder="1" applyAlignment="1">
      <alignment horizontal="center" vertical="center"/>
    </xf>
    <xf numFmtId="44" fontId="4" fillId="6" borderId="1" xfId="2" applyFont="1" applyFill="1" applyBorder="1" applyAlignment="1">
      <alignment horizontal="center" vertical="center" wrapText="1"/>
    </xf>
    <xf numFmtId="0" fontId="0" fillId="6"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9" fillId="0" borderId="1" xfId="0" applyFont="1" applyBorder="1" applyAlignment="1">
      <alignment vertical="center"/>
    </xf>
    <xf numFmtId="4" fontId="9" fillId="0" borderId="1" xfId="0" applyNumberFormat="1" applyFont="1" applyBorder="1" applyAlignment="1">
      <alignment horizontal="center" vertical="center"/>
    </xf>
    <xf numFmtId="0" fontId="0" fillId="0" borderId="1" xfId="0" applyFont="1" applyBorder="1" applyAlignment="1">
      <alignment horizontal="left" vertical="center" wrapText="1"/>
    </xf>
    <xf numFmtId="2" fontId="3" fillId="0" borderId="1" xfId="2" applyNumberFormat="1" applyFont="1" applyBorder="1" applyAlignment="1" applyProtection="1">
      <alignment vertical="center" wrapText="1"/>
      <protection locked="0"/>
    </xf>
    <xf numFmtId="2" fontId="3" fillId="0" borderId="1" xfId="0" applyNumberFormat="1" applyFont="1" applyBorder="1" applyAlignment="1" applyProtection="1">
      <alignment vertical="center" wrapText="1"/>
      <protection locked="0"/>
    </xf>
    <xf numFmtId="2" fontId="3" fillId="0" borderId="1" xfId="0" applyNumberFormat="1" applyFont="1" applyBorder="1" applyAlignment="1" applyProtection="1">
      <alignment horizontal="center" vertical="center" wrapText="1"/>
      <protection locked="0"/>
    </xf>
    <xf numFmtId="0" fontId="9" fillId="6" borderId="1" xfId="0" applyFont="1" applyFill="1" applyBorder="1" applyAlignment="1">
      <alignment vertical="center" wrapText="1"/>
    </xf>
    <xf numFmtId="2" fontId="3"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lignment horizontal="left" vertical="center" wrapText="1"/>
    </xf>
    <xf numFmtId="44" fontId="4" fillId="0" borderId="1" xfId="2" applyFont="1" applyFill="1" applyBorder="1" applyAlignment="1" applyProtection="1">
      <alignment horizontal="center" vertical="center" wrapText="1"/>
    </xf>
    <xf numFmtId="2" fontId="1" fillId="0" borderId="1" xfId="2" applyNumberFormat="1" applyFont="1" applyBorder="1" applyAlignment="1" applyProtection="1">
      <alignment horizontal="center" vertical="center" wrapText="1"/>
      <protection locked="0"/>
    </xf>
    <xf numFmtId="2" fontId="1" fillId="0" borderId="1" xfId="0" applyNumberFormat="1" applyFont="1" applyBorder="1" applyAlignment="1" applyProtection="1">
      <alignment horizontal="center" vertical="center" wrapText="1"/>
      <protection locked="0"/>
    </xf>
    <xf numFmtId="44" fontId="9" fillId="6" borderId="1" xfId="2" applyFont="1" applyFill="1" applyBorder="1" applyAlignment="1" applyProtection="1">
      <alignment vertical="center" wrapText="1"/>
    </xf>
    <xf numFmtId="44" fontId="9" fillId="0" borderId="1" xfId="2" applyFont="1" applyFill="1" applyBorder="1" applyAlignment="1" applyProtection="1">
      <alignment vertical="center" wrapText="1"/>
    </xf>
    <xf numFmtId="2" fontId="1" fillId="0" borderId="1" xfId="0" applyNumberFormat="1" applyFont="1" applyFill="1" applyBorder="1" applyAlignment="1" applyProtection="1">
      <alignment horizontal="center" vertical="center" wrapText="1"/>
      <protection locked="0"/>
    </xf>
    <xf numFmtId="44" fontId="9" fillId="0" borderId="1" xfId="2" applyFont="1" applyFill="1" applyBorder="1" applyAlignment="1" applyProtection="1">
      <alignment horizontal="center" vertical="center" wrapText="1"/>
    </xf>
    <xf numFmtId="44" fontId="9" fillId="0" borderId="1" xfId="2" applyNumberFormat="1" applyFont="1" applyFill="1" applyBorder="1" applyAlignment="1" applyProtection="1">
      <alignment horizontal="center" vertical="center" wrapText="1"/>
    </xf>
    <xf numFmtId="44" fontId="1" fillId="6" borderId="1" xfId="2" applyFont="1" applyFill="1" applyBorder="1" applyAlignment="1">
      <alignment horizontal="center" vertical="center" wrapText="1"/>
    </xf>
    <xf numFmtId="2" fontId="1" fillId="6" borderId="1" xfId="2" applyNumberFormat="1" applyFont="1" applyFill="1" applyBorder="1" applyAlignment="1">
      <alignment horizontal="center" vertical="center" wrapText="1"/>
    </xf>
    <xf numFmtId="44" fontId="1" fillId="0" borderId="1" xfId="2" applyFont="1" applyFill="1" applyBorder="1" applyAlignment="1">
      <alignment horizontal="center" vertical="center" wrapText="1"/>
    </xf>
    <xf numFmtId="164" fontId="1" fillId="0" borderId="1" xfId="0" applyNumberFormat="1" applyFont="1" applyBorder="1" applyAlignment="1">
      <alignment horizontal="center" vertical="center" wrapText="1"/>
    </xf>
    <xf numFmtId="2" fontId="1" fillId="6" borderId="1" xfId="0" applyNumberFormat="1" applyFont="1" applyFill="1" applyBorder="1" applyAlignment="1" applyProtection="1">
      <alignment horizontal="center" vertical="center" wrapText="1"/>
      <protection locked="0"/>
    </xf>
    <xf numFmtId="2" fontId="4" fillId="6" borderId="1" xfId="2" applyNumberFormat="1" applyFont="1" applyFill="1" applyBorder="1" applyAlignment="1">
      <alignment horizontal="center" vertical="center" wrapText="1"/>
    </xf>
    <xf numFmtId="0" fontId="9" fillId="5" borderId="1" xfId="0" applyFont="1" applyFill="1" applyBorder="1" applyAlignment="1">
      <alignment horizontal="left" vertical="center" wrapText="1"/>
    </xf>
    <xf numFmtId="44" fontId="4" fillId="5" borderId="1" xfId="2" applyFont="1" applyFill="1" applyBorder="1" applyAlignment="1">
      <alignment horizontal="center" vertical="center" wrapText="1"/>
    </xf>
    <xf numFmtId="44" fontId="9" fillId="5" borderId="1" xfId="2" applyFont="1" applyFill="1" applyBorder="1" applyAlignment="1">
      <alignment horizontal="center" vertical="center" wrapText="1"/>
    </xf>
    <xf numFmtId="0" fontId="9" fillId="6" borderId="1" xfId="0" applyFont="1" applyFill="1" applyBorder="1" applyAlignment="1">
      <alignment horizontal="left" vertical="center" wrapText="1"/>
    </xf>
    <xf numFmtId="0" fontId="4" fillId="4" borderId="1" xfId="0" applyFont="1" applyFill="1" applyBorder="1" applyAlignment="1">
      <alignment horizontal="center" vertical="center" wrapText="1"/>
    </xf>
    <xf numFmtId="164" fontId="3" fillId="0" borderId="1" xfId="0" applyNumberFormat="1" applyFont="1" applyBorder="1" applyAlignment="1">
      <alignment horizontal="center" vertical="center" wrapText="1"/>
    </xf>
    <xf numFmtId="44" fontId="4" fillId="4" borderId="1" xfId="2" applyFont="1" applyFill="1" applyBorder="1" applyAlignment="1">
      <alignment vertical="center" wrapText="1"/>
    </xf>
    <xf numFmtId="2" fontId="9" fillId="0" borderId="1" xfId="0" applyNumberFormat="1" applyFont="1" applyBorder="1" applyAlignment="1" applyProtection="1">
      <alignment horizontal="center" vertical="center" wrapText="1"/>
      <protection locked="0"/>
    </xf>
    <xf numFmtId="0" fontId="4" fillId="5" borderId="1" xfId="0" applyFont="1" applyFill="1" applyBorder="1" applyAlignment="1">
      <alignment horizontal="left" vertical="center" wrapText="1"/>
    </xf>
    <xf numFmtId="44" fontId="0" fillId="6" borderId="1" xfId="2" applyFont="1" applyFill="1" applyBorder="1" applyAlignment="1">
      <alignment vertical="center" wrapText="1"/>
    </xf>
    <xf numFmtId="2" fontId="0" fillId="6" borderId="1" xfId="2" applyNumberFormat="1" applyFont="1" applyFill="1" applyBorder="1" applyAlignment="1">
      <alignment vertical="center" wrapText="1"/>
    </xf>
    <xf numFmtId="2" fontId="0" fillId="6" borderId="1" xfId="2" applyNumberFormat="1" applyFont="1" applyFill="1" applyBorder="1" applyAlignment="1">
      <alignment horizontal="center" vertical="center" wrapText="1"/>
    </xf>
    <xf numFmtId="4" fontId="0" fillId="6" borderId="1" xfId="2" applyNumberFormat="1" applyFont="1" applyFill="1" applyBorder="1" applyAlignment="1">
      <alignment vertical="center" wrapText="1"/>
    </xf>
    <xf numFmtId="4" fontId="0" fillId="6" borderId="1" xfId="2" applyNumberFormat="1" applyFont="1" applyFill="1" applyBorder="1" applyAlignment="1">
      <alignment horizontal="center" vertical="center" wrapText="1"/>
    </xf>
    <xf numFmtId="164" fontId="0" fillId="6" borderId="1" xfId="2" applyNumberFormat="1" applyFont="1" applyFill="1" applyBorder="1" applyAlignment="1">
      <alignment horizontal="center" vertical="center" wrapText="1"/>
    </xf>
    <xf numFmtId="44" fontId="9" fillId="7" borderId="1" xfId="2" applyFont="1" applyFill="1" applyBorder="1" applyAlignment="1">
      <alignment vertical="center" wrapText="1"/>
    </xf>
    <xf numFmtId="4" fontId="9" fillId="7" borderId="1" xfId="2" applyNumberFormat="1" applyFont="1" applyFill="1" applyBorder="1" applyAlignment="1">
      <alignment vertical="center" wrapText="1"/>
    </xf>
    <xf numFmtId="4" fontId="9" fillId="7" borderId="1" xfId="2" applyNumberFormat="1" applyFont="1" applyFill="1" applyBorder="1" applyAlignment="1">
      <alignment horizontal="center" vertical="center" wrapText="1"/>
    </xf>
    <xf numFmtId="164" fontId="9" fillId="7" borderId="1" xfId="2" applyNumberFormat="1" applyFont="1" applyFill="1" applyBorder="1" applyAlignment="1">
      <alignment horizontal="center" vertical="center" wrapText="1"/>
    </xf>
    <xf numFmtId="44" fontId="9" fillId="0" borderId="1" xfId="0" applyNumberFormat="1" applyFont="1" applyBorder="1" applyAlignment="1">
      <alignment vertical="center"/>
    </xf>
    <xf numFmtId="4" fontId="9" fillId="5" borderId="1" xfId="0" applyNumberFormat="1" applyFont="1" applyFill="1" applyBorder="1" applyAlignment="1">
      <alignment horizontal="center" vertical="center"/>
    </xf>
    <xf numFmtId="2" fontId="1" fillId="6" borderId="1" xfId="2" applyNumberFormat="1" applyFont="1" applyFill="1" applyBorder="1" applyAlignment="1" applyProtection="1">
      <alignment horizontal="center" vertical="center" wrapText="1"/>
      <protection locked="0"/>
    </xf>
    <xf numFmtId="44" fontId="9" fillId="6" borderId="1" xfId="2" applyFont="1" applyFill="1" applyBorder="1" applyAlignment="1" applyProtection="1">
      <alignment horizontal="center" vertical="center" wrapText="1"/>
    </xf>
    <xf numFmtId="2" fontId="9" fillId="6" borderId="1" xfId="0" applyNumberFormat="1" applyFont="1" applyFill="1" applyBorder="1" applyAlignment="1" applyProtection="1">
      <alignment horizontal="center" vertical="center" wrapText="1"/>
      <protection locked="0"/>
    </xf>
    <xf numFmtId="164" fontId="1" fillId="6" borderId="1" xfId="0" applyNumberFormat="1" applyFont="1" applyFill="1" applyBorder="1" applyAlignment="1">
      <alignment horizontal="center" vertical="center" wrapText="1"/>
    </xf>
    <xf numFmtId="7" fontId="9" fillId="6" borderId="1" xfId="2" applyNumberFormat="1" applyFont="1" applyFill="1" applyBorder="1" applyAlignment="1">
      <alignment horizontal="center" vertical="center" wrapText="1"/>
    </xf>
    <xf numFmtId="4" fontId="9" fillId="6" borderId="1" xfId="2" applyNumberFormat="1" applyFont="1" applyFill="1" applyBorder="1" applyAlignment="1">
      <alignment vertical="center" wrapText="1"/>
    </xf>
    <xf numFmtId="0" fontId="9" fillId="9" borderId="1" xfId="0" applyFont="1" applyFill="1" applyBorder="1" applyAlignment="1">
      <alignment horizontal="center" vertical="center" wrapText="1"/>
    </xf>
    <xf numFmtId="0" fontId="0" fillId="9" borderId="1" xfId="0" applyFont="1" applyFill="1" applyBorder="1" applyAlignment="1">
      <alignment horizontal="center" vertical="center" wrapText="1"/>
    </xf>
    <xf numFmtId="0" fontId="9" fillId="9"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164" fontId="4" fillId="0" borderId="1" xfId="0" applyNumberFormat="1" applyFont="1" applyBorder="1" applyAlignment="1">
      <alignment horizontal="center" vertical="center" wrapText="1"/>
    </xf>
    <xf numFmtId="164" fontId="9" fillId="6" borderId="1" xfId="0" applyNumberFormat="1" applyFont="1" applyFill="1" applyBorder="1" applyAlignment="1">
      <alignment horizontal="center" vertical="center" wrapText="1"/>
    </xf>
    <xf numFmtId="164" fontId="9" fillId="0" borderId="1" xfId="0" applyNumberFormat="1" applyFont="1" applyBorder="1" applyAlignment="1">
      <alignment horizontal="center" vertical="center" wrapText="1"/>
    </xf>
    <xf numFmtId="164" fontId="9" fillId="0" borderId="1" xfId="2" applyNumberFormat="1" applyFont="1" applyFill="1" applyBorder="1" applyAlignment="1">
      <alignment horizontal="center" vertical="center" wrapText="1"/>
    </xf>
    <xf numFmtId="44" fontId="9" fillId="6" borderId="1" xfId="2" applyFont="1" applyFill="1" applyBorder="1" applyAlignment="1">
      <alignment vertical="center" wrapText="1"/>
    </xf>
    <xf numFmtId="164" fontId="9" fillId="6" borderId="1" xfId="2" applyNumberFormat="1" applyFont="1" applyFill="1" applyBorder="1" applyAlignment="1">
      <alignment horizontal="center" vertical="center" wrapText="1"/>
    </xf>
    <xf numFmtId="0" fontId="0" fillId="0" borderId="1" xfId="0" applyFont="1" applyBorder="1" applyAlignment="1">
      <alignment horizontal="center"/>
    </xf>
    <xf numFmtId="0" fontId="4" fillId="5" borderId="1" xfId="0" applyFont="1" applyFill="1" applyBorder="1" applyAlignment="1">
      <alignment vertical="center"/>
    </xf>
    <xf numFmtId="0" fontId="10" fillId="5" borderId="1" xfId="0" applyFont="1" applyFill="1" applyBorder="1" applyAlignment="1">
      <alignment vertical="center"/>
    </xf>
    <xf numFmtId="44" fontId="10" fillId="0" borderId="1" xfId="0" applyNumberFormat="1" applyFont="1" applyBorder="1" applyAlignment="1">
      <alignment vertical="center"/>
    </xf>
    <xf numFmtId="0" fontId="9" fillId="0" borderId="1" xfId="0" applyFont="1" applyBorder="1" applyAlignment="1">
      <alignment horizontal="left" vertical="center" wrapText="1"/>
    </xf>
    <xf numFmtId="2" fontId="4" fillId="0" borderId="1" xfId="0" applyNumberFormat="1" applyFont="1" applyBorder="1" applyAlignment="1" applyProtection="1">
      <alignment horizontal="center" vertical="center" wrapText="1"/>
      <protection locked="0"/>
    </xf>
    <xf numFmtId="44" fontId="1" fillId="6" borderId="1" xfId="2" applyNumberFormat="1"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5" fillId="0" borderId="17" xfId="0" applyFont="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9" fillId="10" borderId="1" xfId="0" applyFont="1" applyFill="1" applyBorder="1" applyAlignment="1">
      <alignment horizontal="center" vertical="center" wrapText="1"/>
    </xf>
    <xf numFmtId="0" fontId="9" fillId="11" borderId="19" xfId="0" applyFont="1" applyFill="1" applyBorder="1" applyAlignment="1">
      <alignment horizontal="left" vertical="center"/>
    </xf>
    <xf numFmtId="0" fontId="9" fillId="11" borderId="20" xfId="0" applyFont="1" applyFill="1" applyBorder="1" applyAlignment="1">
      <alignment horizontal="left" vertical="center"/>
    </xf>
    <xf numFmtId="0" fontId="9" fillId="11" borderId="8" xfId="0" applyFont="1" applyFill="1" applyBorder="1" applyAlignment="1">
      <alignment horizontal="left" vertical="center"/>
    </xf>
    <xf numFmtId="0" fontId="9" fillId="0" borderId="19" xfId="0" applyFont="1" applyFill="1" applyBorder="1" applyAlignment="1">
      <alignment horizontal="left" vertical="center"/>
    </xf>
    <xf numFmtId="0" fontId="9" fillId="0" borderId="20" xfId="0" applyFont="1" applyFill="1" applyBorder="1" applyAlignment="1">
      <alignment horizontal="left" vertical="center"/>
    </xf>
    <xf numFmtId="0" fontId="9" fillId="0" borderId="8" xfId="0" applyFont="1" applyFill="1" applyBorder="1" applyAlignment="1">
      <alignment horizontal="left" vertical="center"/>
    </xf>
    <xf numFmtId="0" fontId="5" fillId="0" borderId="11" xfId="0" applyFont="1" applyBorder="1" applyAlignment="1">
      <alignment horizontal="center" vertical="center" wrapText="1"/>
    </xf>
    <xf numFmtId="0" fontId="5" fillId="0" borderId="26" xfId="0" applyFont="1" applyBorder="1" applyAlignment="1">
      <alignment horizontal="center" vertical="center" wrapText="1"/>
    </xf>
    <xf numFmtId="0" fontId="3" fillId="10"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0" fillId="10" borderId="1" xfId="0" applyFont="1" applyFill="1" applyBorder="1" applyAlignment="1">
      <alignment horizontal="center" vertical="center" wrapText="1"/>
    </xf>
  </cellXfs>
  <cellStyles count="3">
    <cellStyle name="Currency" xfId="1" builtinId="4"/>
    <cellStyle name="Currency 2" xfId="2" xr:uid="{00000000-0005-0000-0000-000001000000}"/>
    <cellStyle name="Normal" xfId="0" builtinId="0"/>
  </cellStyles>
  <dxfs count="0"/>
  <tableStyles count="0" defaultTableStyle="TableStyleMedium2" defaultPivotStyle="PivotStyleLight16"/>
  <colors>
    <mruColors>
      <color rgb="FF00FFFF"/>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xdr:colOff>
      <xdr:row>38</xdr:row>
      <xdr:rowOff>0</xdr:rowOff>
    </xdr:from>
    <xdr:to>
      <xdr:col>11</xdr:col>
      <xdr:colOff>581025</xdr:colOff>
      <xdr:row>42</xdr:row>
      <xdr:rowOff>57150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1" y="7562850"/>
          <a:ext cx="9639299" cy="7429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txBody>
        <a:bodyPr vertOverflow="clip" wrap="square" lIns="0" tIns="0" rIns="0" bIns="0" anchor="t" upright="1"/>
        <a:lstStyle/>
        <a:p>
          <a:pPr algn="l" rtl="0">
            <a:defRPr sz="1000"/>
          </a:pPr>
          <a:r>
            <a:rPr lang="en-US" sz="800" b="1" i="0" u="none" strike="noStrike" baseline="0">
              <a:solidFill>
                <a:srgbClr val="000000"/>
              </a:solidFill>
              <a:latin typeface="Arial"/>
              <a:cs typeface="Arial"/>
            </a:rPr>
            <a:t> </a:t>
          </a:r>
          <a:r>
            <a:rPr lang="en-US" sz="1000" b="1" i="0" u="none" strike="noStrike" baseline="0">
              <a:solidFill>
                <a:srgbClr val="000000"/>
              </a:solidFill>
              <a:latin typeface="Arial"/>
              <a:cs typeface="Arial"/>
            </a:rPr>
            <a:t>* </a:t>
          </a:r>
          <a:r>
            <a:rPr lang="en-US" sz="1050" b="1" i="0" u="none" strike="noStrike" baseline="0">
              <a:solidFill>
                <a:srgbClr val="000000"/>
              </a:solidFill>
              <a:latin typeface="Arial"/>
              <a:cs typeface="Arial"/>
            </a:rPr>
            <a:t>When considering this budget, consider your farm’s Average Yields.</a:t>
          </a:r>
          <a:r>
            <a:rPr lang="en-US" sz="1050" b="0" i="0" u="none" strike="noStrike" baseline="0">
              <a:solidFill>
                <a:srgbClr val="000000"/>
              </a:solidFill>
              <a:latin typeface="Arial"/>
              <a:cs typeface="Arial"/>
            </a:rPr>
            <a:t> </a:t>
          </a:r>
        </a:p>
        <a:p>
          <a:pPr algn="l" rtl="0">
            <a:defRPr sz="1000"/>
          </a:pPr>
          <a:r>
            <a:rPr lang="en-US" sz="1050" b="0" i="0" u="none" strike="noStrike" baseline="0">
              <a:solidFill>
                <a:srgbClr val="000000"/>
              </a:solidFill>
              <a:latin typeface="Arial"/>
              <a:cs typeface="Arial"/>
            </a:rPr>
            <a:t>   ** *</a:t>
          </a:r>
          <a:r>
            <a:rPr lang="en-US" sz="1050" b="1" i="0" u="none" strike="noStrike" baseline="0">
              <a:solidFill>
                <a:srgbClr val="000000"/>
              </a:solidFill>
              <a:latin typeface="Arial"/>
              <a:cs typeface="Arial"/>
            </a:rPr>
            <a:t>The Winter Wheat Advantage is the result of being able to seed winter wheat earlier after canola or edible beans.  Winter wheat planted past  the optimum date,  the         yield loss is 1.1 bu/ac/day on average.  In this example  wheat planted 2 weeks  past optimum date after soybeans would yield 14 bu/ac less  than after canola or white beans (if planted on time).  At a price of $5.44@ bushel this would equal $76.16.</a:t>
          </a:r>
        </a:p>
        <a:p>
          <a:pPr algn="l" rtl="0">
            <a:defRPr sz="1000"/>
          </a:pP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44</xdr:row>
      <xdr:rowOff>0</xdr:rowOff>
    </xdr:from>
    <xdr:to>
      <xdr:col>11</xdr:col>
      <xdr:colOff>581025</xdr:colOff>
      <xdr:row>48</xdr:row>
      <xdr:rowOff>57150</xdr:rowOff>
    </xdr:to>
    <xdr:sp macro="" textlink="">
      <xdr:nvSpPr>
        <xdr:cNvPr id="1025" name="Text Box 1">
          <a:extLst>
            <a:ext uri="{FF2B5EF4-FFF2-40B4-BE49-F238E27FC236}">
              <a16:creationId xmlns:a16="http://schemas.microsoft.com/office/drawing/2014/main" id="{00000000-0008-0000-0100-000001040000}"/>
            </a:ext>
          </a:extLst>
        </xdr:cNvPr>
        <xdr:cNvSpPr txBox="1">
          <a:spLocks noChangeArrowheads="1"/>
        </xdr:cNvSpPr>
      </xdr:nvSpPr>
      <xdr:spPr bwMode="auto">
        <a:xfrm>
          <a:off x="1" y="7105650"/>
          <a:ext cx="7610474" cy="7048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txBody>
        <a:bodyPr vertOverflow="clip" wrap="square" lIns="0" tIns="0" rIns="0" bIns="0" anchor="t" upright="1"/>
        <a:lstStyle/>
        <a:p>
          <a:pPr algn="l" rtl="0">
            <a:defRPr sz="1000"/>
          </a:pPr>
          <a:r>
            <a:rPr lang="en-US" sz="800" b="1" i="0" u="none" strike="noStrike" baseline="0">
              <a:solidFill>
                <a:srgbClr val="000000"/>
              </a:solidFill>
              <a:latin typeface="Arial"/>
              <a:cs typeface="Arial"/>
            </a:rPr>
            <a:t> </a:t>
          </a:r>
          <a:r>
            <a:rPr lang="en-US" sz="1000" b="1" i="0" u="none" strike="noStrike" baseline="0">
              <a:solidFill>
                <a:srgbClr val="000000"/>
              </a:solidFill>
              <a:latin typeface="Arial"/>
              <a:cs typeface="Arial"/>
            </a:rPr>
            <a:t>* </a:t>
          </a:r>
          <a:r>
            <a:rPr lang="en-US" sz="1050" b="1" i="0" u="none" strike="noStrike" baseline="0">
              <a:solidFill>
                <a:srgbClr val="000000"/>
              </a:solidFill>
              <a:latin typeface="Arial"/>
              <a:cs typeface="Arial"/>
            </a:rPr>
            <a:t>When considering this budget, consider your farm’s Average Yields and priced FOB from your farm</a:t>
          </a:r>
          <a:r>
            <a:rPr lang="en-US" sz="1050" b="0" i="0" u="none" strike="noStrike" baseline="0">
              <a:solidFill>
                <a:srgbClr val="000000"/>
              </a:solidFill>
              <a:latin typeface="Arial"/>
              <a:cs typeface="Arial"/>
            </a:rPr>
            <a:t>.</a:t>
          </a:r>
        </a:p>
        <a:p>
          <a:pPr algn="l" rtl="0">
            <a:defRPr sz="1000"/>
          </a:pPr>
          <a:r>
            <a:rPr lang="en-US" sz="1050" b="0" i="0" u="none" strike="noStrike" baseline="0">
              <a:solidFill>
                <a:srgbClr val="000000"/>
              </a:solidFill>
              <a:latin typeface="Arial"/>
              <a:cs typeface="Arial"/>
            </a:rPr>
            <a:t>   ** *</a:t>
          </a:r>
          <a:r>
            <a:rPr lang="en-US" sz="1050" b="1" i="0" u="none" strike="noStrike" baseline="0">
              <a:solidFill>
                <a:srgbClr val="000000"/>
              </a:solidFill>
              <a:latin typeface="Arial"/>
              <a:cs typeface="Arial"/>
            </a:rPr>
            <a:t>The Winter Wheat Advantage is the result of being able to seed winter wheat earlier after canola or edible beans.  Winter wheat planted past  the optimum date,  the yield loss is 1.1 bu/ac/day on average.  In this example  wheat planted 2 weeks  past optimum date after soybeans would yield 14 bu/ac less  than after canola or white beans (if planted on time).  At a price of $6.13@ bushel this would equal $85.16.</a:t>
          </a:r>
        </a:p>
        <a:p>
          <a:pPr algn="l" rtl="0">
            <a:defRPr sz="1000"/>
          </a:pP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0"/>
  <sheetViews>
    <sheetView zoomScaleNormal="100" workbookViewId="0">
      <selection activeCell="C5" sqref="C1:D1048576"/>
    </sheetView>
  </sheetViews>
  <sheetFormatPr defaultRowHeight="13.2"/>
  <cols>
    <col min="1" max="1" width="24.33203125" customWidth="1"/>
    <col min="2" max="2" width="15.33203125" hidden="1" customWidth="1"/>
    <col min="3" max="3" width="13" style="1" customWidth="1"/>
    <col min="4" max="4" width="13.44140625" style="1" customWidth="1"/>
    <col min="5" max="5" width="11.88671875" style="1" customWidth="1"/>
    <col min="6" max="6" width="14.88671875" style="1" customWidth="1"/>
    <col min="7" max="7" width="10.109375" style="1" customWidth="1"/>
    <col min="8" max="8" width="13" style="1" customWidth="1"/>
    <col min="9" max="9" width="12.5546875" style="1" customWidth="1"/>
    <col min="10" max="10" width="11.6640625" style="1" customWidth="1"/>
    <col min="11" max="11" width="11" style="1" customWidth="1"/>
    <col min="12" max="12" width="9.5546875" bestFit="1" customWidth="1"/>
  </cols>
  <sheetData>
    <row r="1" spans="1:12" ht="22.5" customHeight="1" thickBot="1">
      <c r="A1" s="278" t="s">
        <v>44</v>
      </c>
      <c r="B1" s="278"/>
      <c r="C1" s="278"/>
      <c r="D1" s="278"/>
      <c r="E1" s="278"/>
      <c r="F1" s="278"/>
      <c r="G1" s="278"/>
      <c r="H1" s="278"/>
      <c r="I1" s="278"/>
      <c r="J1" s="278"/>
      <c r="K1" s="278"/>
      <c r="L1" s="278"/>
    </row>
    <row r="2" spans="1:12" ht="12.75" customHeight="1">
      <c r="A2" s="279"/>
      <c r="B2" s="275" t="s">
        <v>0</v>
      </c>
      <c r="C2" s="284" t="s">
        <v>38</v>
      </c>
      <c r="D2" s="284" t="s">
        <v>1</v>
      </c>
      <c r="E2" s="275" t="s">
        <v>37</v>
      </c>
      <c r="F2" s="275" t="s">
        <v>43</v>
      </c>
      <c r="G2" s="275" t="s">
        <v>2</v>
      </c>
      <c r="H2" s="275" t="s">
        <v>3</v>
      </c>
      <c r="I2" s="275" t="s">
        <v>4</v>
      </c>
      <c r="J2" s="272" t="s">
        <v>48</v>
      </c>
      <c r="K2" s="275" t="s">
        <v>47</v>
      </c>
      <c r="L2" s="272" t="s">
        <v>45</v>
      </c>
    </row>
    <row r="3" spans="1:12" ht="12.75" customHeight="1">
      <c r="A3" s="280"/>
      <c r="B3" s="282"/>
      <c r="C3" s="285"/>
      <c r="D3" s="287"/>
      <c r="E3" s="282"/>
      <c r="F3" s="282"/>
      <c r="G3" s="282"/>
      <c r="H3" s="276"/>
      <c r="I3" s="276"/>
      <c r="J3" s="273"/>
      <c r="K3" s="276"/>
      <c r="L3" s="273"/>
    </row>
    <row r="4" spans="1:12" ht="18" customHeight="1" thickBot="1">
      <c r="A4" s="281"/>
      <c r="B4" s="283"/>
      <c r="C4" s="286"/>
      <c r="D4" s="288"/>
      <c r="E4" s="283"/>
      <c r="F4" s="283"/>
      <c r="G4" s="283"/>
      <c r="H4" s="277"/>
      <c r="I4" s="277"/>
      <c r="J4" s="274"/>
      <c r="K4" s="277"/>
      <c r="L4" s="274"/>
    </row>
    <row r="5" spans="1:12" ht="14.4" thickBot="1">
      <c r="A5" s="3" t="s">
        <v>5</v>
      </c>
      <c r="B5" s="4" t="s">
        <v>6</v>
      </c>
      <c r="C5" s="5">
        <v>64</v>
      </c>
      <c r="D5" s="5">
        <v>62</v>
      </c>
      <c r="E5" s="6">
        <v>122</v>
      </c>
      <c r="F5" s="6">
        <v>56.5</v>
      </c>
      <c r="G5" s="6">
        <v>85.05</v>
      </c>
      <c r="H5" s="6">
        <v>49</v>
      </c>
      <c r="I5" s="6">
        <v>36.25</v>
      </c>
      <c r="J5" s="7">
        <v>62.25</v>
      </c>
      <c r="K5" s="7">
        <v>80.599999999999994</v>
      </c>
      <c r="L5" s="7">
        <v>24.5</v>
      </c>
    </row>
    <row r="6" spans="1:12" ht="16.5" customHeight="1" thickBot="1">
      <c r="A6" s="3" t="s">
        <v>7</v>
      </c>
      <c r="B6" s="8"/>
      <c r="C6" s="9"/>
      <c r="D6" s="9"/>
      <c r="E6" s="10"/>
      <c r="F6" s="10">
        <v>6</v>
      </c>
      <c r="G6" s="10">
        <v>6</v>
      </c>
      <c r="H6" s="10"/>
      <c r="I6" s="10"/>
      <c r="J6" s="11"/>
      <c r="K6" s="11"/>
      <c r="L6" s="11"/>
    </row>
    <row r="7" spans="1:12" ht="14.4" thickBot="1">
      <c r="A7" s="3" t="s">
        <v>8</v>
      </c>
      <c r="B7" s="8" t="s">
        <v>9</v>
      </c>
      <c r="C7" s="9">
        <v>93.3</v>
      </c>
      <c r="D7" s="9">
        <f>C7</f>
        <v>93.3</v>
      </c>
      <c r="E7" s="10">
        <v>104.6</v>
      </c>
      <c r="F7" s="10">
        <v>24</v>
      </c>
      <c r="G7" s="10">
        <f>F7</f>
        <v>24</v>
      </c>
      <c r="H7" s="10">
        <v>70.599999999999994</v>
      </c>
      <c r="I7" s="10">
        <v>45</v>
      </c>
      <c r="J7" s="11">
        <v>66.2</v>
      </c>
      <c r="K7" s="11">
        <v>44.55</v>
      </c>
      <c r="L7" s="11">
        <v>40</v>
      </c>
    </row>
    <row r="8" spans="1:12" ht="18" customHeight="1" thickBot="1">
      <c r="A8" s="3" t="s">
        <v>10</v>
      </c>
      <c r="B8" s="8"/>
      <c r="C8" s="9">
        <v>22</v>
      </c>
      <c r="D8" s="9">
        <f>C8</f>
        <v>22</v>
      </c>
      <c r="E8" s="10"/>
      <c r="F8" s="10"/>
      <c r="G8" s="10"/>
      <c r="H8" s="10"/>
      <c r="I8" s="10">
        <v>16</v>
      </c>
      <c r="J8" s="11">
        <v>17</v>
      </c>
      <c r="K8" s="11">
        <v>68</v>
      </c>
      <c r="L8" s="11"/>
    </row>
    <row r="9" spans="1:12" ht="14.4" thickBot="1">
      <c r="A9" s="3" t="s">
        <v>11</v>
      </c>
      <c r="B9" s="8"/>
      <c r="C9" s="9">
        <v>6</v>
      </c>
      <c r="D9" s="9">
        <f>C9</f>
        <v>6</v>
      </c>
      <c r="E9" s="10"/>
      <c r="F9" s="10"/>
      <c r="G9" s="10"/>
      <c r="H9" s="10"/>
      <c r="I9" s="10"/>
      <c r="J9" s="11"/>
      <c r="K9" s="11"/>
      <c r="L9" s="11"/>
    </row>
    <row r="10" spans="1:12" ht="15.75" customHeight="1" thickBot="1">
      <c r="A10" s="3" t="s">
        <v>46</v>
      </c>
      <c r="B10" s="8" t="s">
        <v>12</v>
      </c>
      <c r="C10" s="9">
        <v>11.5</v>
      </c>
      <c r="D10" s="9">
        <v>6</v>
      </c>
      <c r="E10" s="10">
        <v>13.85</v>
      </c>
      <c r="F10" s="10">
        <v>45</v>
      </c>
      <c r="G10" s="10">
        <v>16</v>
      </c>
      <c r="H10" s="10">
        <v>7.5</v>
      </c>
      <c r="I10" s="10">
        <v>7.5</v>
      </c>
      <c r="J10" s="11">
        <f>I10</f>
        <v>7.5</v>
      </c>
      <c r="K10" s="11">
        <v>53</v>
      </c>
      <c r="L10" s="11">
        <v>24</v>
      </c>
    </row>
    <row r="11" spans="1:12" ht="14.4" thickBot="1">
      <c r="A11" s="12" t="s">
        <v>13</v>
      </c>
      <c r="B11" s="13"/>
      <c r="C11" s="13">
        <f t="shared" ref="C11:K11" si="0">SUM(C5:C10)</f>
        <v>196.8</v>
      </c>
      <c r="D11" s="13">
        <f t="shared" si="0"/>
        <v>189.3</v>
      </c>
      <c r="E11" s="13">
        <f>SUM(E5:E10)</f>
        <v>240.45</v>
      </c>
      <c r="F11" s="13">
        <f t="shared" si="0"/>
        <v>131.5</v>
      </c>
      <c r="G11" s="13">
        <f t="shared" si="0"/>
        <v>131.05000000000001</v>
      </c>
      <c r="H11" s="13">
        <f t="shared" si="0"/>
        <v>127.1</v>
      </c>
      <c r="I11" s="13">
        <f t="shared" si="0"/>
        <v>104.75</v>
      </c>
      <c r="J11" s="14">
        <f t="shared" si="0"/>
        <v>152.94999999999999</v>
      </c>
      <c r="K11" s="14">
        <f t="shared" si="0"/>
        <v>246.14999999999998</v>
      </c>
      <c r="L11" s="14">
        <f>SUM(L5:L10)</f>
        <v>88.5</v>
      </c>
    </row>
    <row r="12" spans="1:12" ht="3" customHeight="1" thickBot="1">
      <c r="A12" s="15"/>
      <c r="B12" s="16"/>
      <c r="C12" s="17"/>
      <c r="D12" s="17"/>
      <c r="E12" s="16"/>
      <c r="F12" s="16"/>
      <c r="G12" s="16"/>
      <c r="H12" s="16"/>
      <c r="I12" s="16"/>
      <c r="J12" s="18"/>
      <c r="K12" s="18"/>
      <c r="L12" s="18"/>
    </row>
    <row r="13" spans="1:12" ht="14.4" thickBot="1">
      <c r="A13" s="15" t="s">
        <v>14</v>
      </c>
      <c r="B13" s="19" t="s">
        <v>15</v>
      </c>
      <c r="C13" s="9">
        <v>50</v>
      </c>
      <c r="D13" s="9">
        <f>C13</f>
        <v>50</v>
      </c>
      <c r="E13" s="19">
        <v>50</v>
      </c>
      <c r="F13" s="19">
        <v>50</v>
      </c>
      <c r="G13" s="19">
        <v>50</v>
      </c>
      <c r="H13" s="19">
        <f>I13</f>
        <v>50</v>
      </c>
      <c r="I13" s="19">
        <v>50</v>
      </c>
      <c r="J13" s="20">
        <f>C13</f>
        <v>50</v>
      </c>
      <c r="K13" s="20">
        <v>50</v>
      </c>
      <c r="L13" s="20">
        <f>D13</f>
        <v>50</v>
      </c>
    </row>
    <row r="14" spans="1:12" ht="14.4" thickBot="1">
      <c r="A14" s="15" t="s">
        <v>16</v>
      </c>
      <c r="B14" s="19"/>
      <c r="C14" s="9">
        <v>20</v>
      </c>
      <c r="D14" s="9">
        <f>C14</f>
        <v>20</v>
      </c>
      <c r="E14" s="19">
        <v>22</v>
      </c>
      <c r="F14" s="19">
        <v>22</v>
      </c>
      <c r="G14" s="19">
        <f>F14</f>
        <v>22</v>
      </c>
      <c r="H14" s="19">
        <f>I14</f>
        <v>20</v>
      </c>
      <c r="I14" s="19">
        <v>20</v>
      </c>
      <c r="J14" s="20">
        <f>C14</f>
        <v>20</v>
      </c>
      <c r="K14" s="20">
        <v>27</v>
      </c>
      <c r="L14" s="20">
        <f>D14</f>
        <v>20</v>
      </c>
    </row>
    <row r="15" spans="1:12" ht="14.4" thickBot="1">
      <c r="A15" s="15" t="s">
        <v>17</v>
      </c>
      <c r="B15" s="19"/>
      <c r="C15" s="9">
        <v>30</v>
      </c>
      <c r="D15" s="9">
        <f>C15</f>
        <v>30</v>
      </c>
      <c r="E15" s="19">
        <v>10</v>
      </c>
      <c r="F15" s="19">
        <v>20.399999999999999</v>
      </c>
      <c r="G15" s="19">
        <v>20.399999999999999</v>
      </c>
      <c r="H15" s="19">
        <v>10</v>
      </c>
      <c r="I15" s="19">
        <v>20</v>
      </c>
      <c r="J15" s="20">
        <f>I15</f>
        <v>20</v>
      </c>
      <c r="K15" s="20">
        <v>40</v>
      </c>
      <c r="L15" s="20">
        <f>J15</f>
        <v>20</v>
      </c>
    </row>
    <row r="16" spans="1:12" ht="14.4" thickBot="1">
      <c r="A16" s="15" t="s">
        <v>18</v>
      </c>
      <c r="B16" s="19"/>
      <c r="C16" s="9">
        <v>10</v>
      </c>
      <c r="D16" s="9">
        <f>C16</f>
        <v>10</v>
      </c>
      <c r="E16" s="19">
        <v>10</v>
      </c>
      <c r="F16" s="19">
        <v>10</v>
      </c>
      <c r="G16" s="19">
        <f>F16</f>
        <v>10</v>
      </c>
      <c r="H16" s="19">
        <v>10</v>
      </c>
      <c r="I16" s="19">
        <v>10</v>
      </c>
      <c r="J16" s="20">
        <f>I16</f>
        <v>10</v>
      </c>
      <c r="K16" s="20">
        <v>10</v>
      </c>
      <c r="L16" s="20">
        <f>J16</f>
        <v>10</v>
      </c>
    </row>
    <row r="17" spans="1:13" ht="12.75" customHeight="1" thickBot="1">
      <c r="A17" s="15" t="s">
        <v>19</v>
      </c>
      <c r="B17" s="19"/>
      <c r="C17" s="9"/>
      <c r="D17" s="9"/>
      <c r="E17" s="19"/>
      <c r="F17" s="19"/>
      <c r="G17" s="19"/>
      <c r="H17" s="19"/>
      <c r="I17" s="19"/>
      <c r="J17" s="20"/>
      <c r="K17" s="20"/>
      <c r="L17" s="20"/>
    </row>
    <row r="18" spans="1:13" ht="23.25" customHeight="1" thickBot="1">
      <c r="A18" s="15" t="s">
        <v>20</v>
      </c>
      <c r="B18" s="19" t="s">
        <v>21</v>
      </c>
      <c r="C18" s="9">
        <v>46</v>
      </c>
      <c r="D18" s="9">
        <f>C18</f>
        <v>46</v>
      </c>
      <c r="E18" s="19">
        <v>75</v>
      </c>
      <c r="F18" s="19">
        <v>50</v>
      </c>
      <c r="G18" s="19">
        <f>F18</f>
        <v>50</v>
      </c>
      <c r="H18" s="19">
        <f>I18</f>
        <v>50</v>
      </c>
      <c r="I18" s="19">
        <v>50</v>
      </c>
      <c r="J18" s="20">
        <v>50</v>
      </c>
      <c r="K18" s="20">
        <v>55</v>
      </c>
      <c r="L18" s="20">
        <v>46</v>
      </c>
    </row>
    <row r="19" spans="1:13" ht="14.4" thickBot="1">
      <c r="A19" s="21" t="s">
        <v>22</v>
      </c>
      <c r="B19" s="22"/>
      <c r="C19" s="23">
        <f t="shared" ref="C19:K19" si="1">SUM(C13:C18)</f>
        <v>156</v>
      </c>
      <c r="D19" s="23">
        <f t="shared" si="1"/>
        <v>156</v>
      </c>
      <c r="E19" s="22">
        <f>SUM(E13:E18)</f>
        <v>167</v>
      </c>
      <c r="F19" s="22">
        <f t="shared" si="1"/>
        <v>152.4</v>
      </c>
      <c r="G19" s="22">
        <f t="shared" si="1"/>
        <v>152.4</v>
      </c>
      <c r="H19" s="22">
        <f t="shared" si="1"/>
        <v>140</v>
      </c>
      <c r="I19" s="22">
        <f t="shared" si="1"/>
        <v>150</v>
      </c>
      <c r="J19" s="24">
        <f t="shared" si="1"/>
        <v>150</v>
      </c>
      <c r="K19" s="24">
        <f t="shared" si="1"/>
        <v>182</v>
      </c>
      <c r="L19" s="24">
        <f>SUM(L13:L18)</f>
        <v>146</v>
      </c>
    </row>
    <row r="20" spans="1:13" ht="3" customHeight="1">
      <c r="A20" s="25"/>
      <c r="B20" s="26"/>
      <c r="C20" s="27"/>
      <c r="D20" s="27"/>
      <c r="E20" s="26"/>
      <c r="F20" s="26"/>
      <c r="G20" s="26"/>
      <c r="H20" s="26"/>
      <c r="I20" s="26"/>
      <c r="J20" s="26"/>
      <c r="K20" s="26"/>
      <c r="L20" s="26"/>
    </row>
    <row r="21" spans="1:13" ht="14.4" thickBot="1">
      <c r="A21" s="3" t="s">
        <v>23</v>
      </c>
      <c r="B21" s="10"/>
      <c r="C21" s="9"/>
      <c r="D21" s="9"/>
      <c r="E21" s="10">
        <v>75.2</v>
      </c>
      <c r="F21" s="10">
        <v>12.3</v>
      </c>
      <c r="G21" s="10">
        <v>12.3</v>
      </c>
      <c r="H21" s="10"/>
      <c r="I21" s="10"/>
      <c r="J21" s="11"/>
      <c r="K21" s="11"/>
      <c r="L21" s="11"/>
    </row>
    <row r="22" spans="1:13" ht="21.75" customHeight="1" thickBot="1">
      <c r="A22" s="3" t="s">
        <v>24</v>
      </c>
      <c r="B22" s="10"/>
      <c r="C22" s="9">
        <v>15.55</v>
      </c>
      <c r="D22" s="9">
        <f>C22</f>
        <v>15.55</v>
      </c>
      <c r="E22" s="10">
        <v>18.899999999999999</v>
      </c>
      <c r="F22" s="10">
        <v>12.6</v>
      </c>
      <c r="G22" s="10">
        <f>F22</f>
        <v>12.6</v>
      </c>
      <c r="H22" s="10">
        <f>I22</f>
        <v>7.55</v>
      </c>
      <c r="I22" s="10">
        <v>7.55</v>
      </c>
      <c r="J22" s="11">
        <v>10.4</v>
      </c>
      <c r="K22" s="11">
        <v>18</v>
      </c>
      <c r="L22" s="11"/>
    </row>
    <row r="23" spans="1:13" ht="14.4" thickBot="1">
      <c r="A23" s="3" t="s">
        <v>25</v>
      </c>
      <c r="B23" s="10"/>
      <c r="C23" s="9">
        <f>(C11+0.5*C19)*((0.05/12)*4)</f>
        <v>4.58</v>
      </c>
      <c r="D23" s="9">
        <f t="shared" ref="D23:J23" si="2">(D11+0.5*D19)*((0.05/12)*4)</f>
        <v>4.4550000000000001</v>
      </c>
      <c r="E23" s="28">
        <f>(E11+0.5*E19)*((0.05/12)*6)</f>
        <v>8.0987500000000008</v>
      </c>
      <c r="F23" s="28">
        <f>(F11+0.5*F19)*((0.05/12)*5)</f>
        <v>4.3270833333333325</v>
      </c>
      <c r="G23" s="28">
        <f>(G11+0.5*G19)*((0.05/12)*5)</f>
        <v>4.317708333333333</v>
      </c>
      <c r="H23" s="28">
        <f t="shared" si="2"/>
        <v>3.2849999999999997</v>
      </c>
      <c r="I23" s="28">
        <f t="shared" si="2"/>
        <v>2.9958333333333331</v>
      </c>
      <c r="J23" s="28">
        <f t="shared" si="2"/>
        <v>3.7991666666666664</v>
      </c>
      <c r="K23" s="28">
        <v>7.8</v>
      </c>
      <c r="L23" s="28">
        <f>(L11+0.5*L19)*((0.05/12)*4)</f>
        <v>2.6916666666666664</v>
      </c>
    </row>
    <row r="24" spans="1:13" ht="14.4" thickBot="1">
      <c r="A24" s="3" t="s">
        <v>42</v>
      </c>
      <c r="B24" s="10"/>
      <c r="C24" s="9">
        <v>3.65</v>
      </c>
      <c r="D24" s="9">
        <f>C24</f>
        <v>3.65</v>
      </c>
      <c r="E24" s="10">
        <v>33</v>
      </c>
      <c r="F24" s="10">
        <v>10.7</v>
      </c>
      <c r="G24" s="10">
        <f>F24</f>
        <v>10.7</v>
      </c>
      <c r="H24" s="10"/>
      <c r="I24" s="10"/>
      <c r="J24" s="11">
        <v>2.6</v>
      </c>
      <c r="K24" s="11">
        <v>6.9</v>
      </c>
      <c r="L24" s="11"/>
    </row>
    <row r="25" spans="1:13" ht="13.8">
      <c r="A25" s="29" t="s">
        <v>26</v>
      </c>
      <c r="B25" s="30"/>
      <c r="C25" s="31">
        <f>SUM(C21:C24)</f>
        <v>23.78</v>
      </c>
      <c r="D25" s="31">
        <f>SUM(D21:D24)</f>
        <v>23.655000000000001</v>
      </c>
      <c r="E25" s="30">
        <f>SUM(E21:E24)</f>
        <v>135.19874999999999</v>
      </c>
      <c r="F25" s="30">
        <f>SUM(F21:F24)</f>
        <v>39.927083333333329</v>
      </c>
      <c r="G25" s="30">
        <f>F25</f>
        <v>39.927083333333329</v>
      </c>
      <c r="H25" s="30">
        <f>SUM(H21:H24)</f>
        <v>10.834999999999999</v>
      </c>
      <c r="I25" s="30">
        <f>SUM(I21:I24)</f>
        <v>10.545833333333333</v>
      </c>
      <c r="J25" s="30">
        <f>SUM(J21:J24)</f>
        <v>16.799166666666668</v>
      </c>
      <c r="K25" s="30"/>
      <c r="L25" s="30">
        <f>SUM(L21:L24)</f>
        <v>2.6916666666666664</v>
      </c>
    </row>
    <row r="26" spans="1:13" ht="20.25" customHeight="1">
      <c r="A26" s="32" t="s">
        <v>27</v>
      </c>
      <c r="B26" s="33"/>
      <c r="C26" s="33">
        <f t="shared" ref="C26:K26" si="3">SUM(C21:C24)+C19+C11</f>
        <v>376.58000000000004</v>
      </c>
      <c r="D26" s="33">
        <f t="shared" si="3"/>
        <v>368.95500000000004</v>
      </c>
      <c r="E26" s="33">
        <f>SUM(E21:E24)+E19+E11</f>
        <v>542.64875000000006</v>
      </c>
      <c r="F26" s="33">
        <f t="shared" si="3"/>
        <v>323.82708333333335</v>
      </c>
      <c r="G26" s="33">
        <f t="shared" si="3"/>
        <v>323.36770833333333</v>
      </c>
      <c r="H26" s="34">
        <f t="shared" si="3"/>
        <v>277.935</v>
      </c>
      <c r="I26" s="34">
        <f t="shared" si="3"/>
        <v>265.29583333333335</v>
      </c>
      <c r="J26" s="35">
        <f t="shared" si="3"/>
        <v>319.74916666666667</v>
      </c>
      <c r="K26" s="35">
        <f t="shared" si="3"/>
        <v>460.84999999999997</v>
      </c>
      <c r="L26" s="35">
        <f>SUM(L21:L24)+L19+L11</f>
        <v>237.19166666666666</v>
      </c>
    </row>
    <row r="27" spans="1:13" ht="19.5" customHeight="1">
      <c r="A27" s="36" t="s">
        <v>28</v>
      </c>
      <c r="B27" s="37"/>
      <c r="C27" s="38">
        <v>465</v>
      </c>
      <c r="D27" s="38">
        <f>C27</f>
        <v>465</v>
      </c>
      <c r="E27" s="37">
        <v>4.33</v>
      </c>
      <c r="F27" s="37">
        <f>G27+3</f>
        <v>14.34</v>
      </c>
      <c r="G27" s="37">
        <v>11.34</v>
      </c>
      <c r="H27" s="37">
        <v>175</v>
      </c>
      <c r="I27" s="37">
        <v>230</v>
      </c>
      <c r="J27" s="37">
        <v>200</v>
      </c>
      <c r="K27" s="37">
        <v>40</v>
      </c>
      <c r="L27" s="37">
        <v>450</v>
      </c>
    </row>
    <row r="28" spans="1:13" ht="15" customHeight="1">
      <c r="A28" s="39" t="s">
        <v>29</v>
      </c>
      <c r="B28" s="40"/>
      <c r="C28" s="41">
        <f>(C26/C27)*2204</f>
        <v>1784.9082150537638</v>
      </c>
      <c r="D28" s="41">
        <f>(D26/D27)*2204</f>
        <v>1748.7673548387097</v>
      </c>
      <c r="E28" s="40">
        <f>E26/E27</f>
        <v>125.32303695150117</v>
      </c>
      <c r="F28" s="40">
        <f>F26/F27</f>
        <v>22.582083914458394</v>
      </c>
      <c r="G28" s="40">
        <f>G26/G27</f>
        <v>28.515670928865372</v>
      </c>
      <c r="H28" s="40">
        <f>(H26/(H27/45.92))</f>
        <v>72.930143999999999</v>
      </c>
      <c r="I28" s="40">
        <f>(I26/I27)*58</f>
        <v>66.900688405797112</v>
      </c>
      <c r="J28" s="40">
        <f>(J26/J27)*36.73</f>
        <v>58.72193445833333</v>
      </c>
      <c r="K28" s="40">
        <f>K26/K27</f>
        <v>11.521249999999998</v>
      </c>
      <c r="L28" s="40">
        <f>(L26/L27)*36.73</f>
        <v>19.360110925925923</v>
      </c>
      <c r="M28" s="2"/>
    </row>
    <row r="29" spans="1:13" ht="24" customHeight="1">
      <c r="A29" s="39" t="s">
        <v>30</v>
      </c>
      <c r="B29" s="42"/>
      <c r="C29" s="43" t="s">
        <v>32</v>
      </c>
      <c r="D29" s="43" t="s">
        <v>32</v>
      </c>
      <c r="E29" s="42" t="s">
        <v>31</v>
      </c>
      <c r="F29" s="42" t="s">
        <v>31</v>
      </c>
      <c r="G29" s="42" t="s">
        <v>31</v>
      </c>
      <c r="H29" s="42" t="s">
        <v>31</v>
      </c>
      <c r="I29" s="42" t="s">
        <v>31</v>
      </c>
      <c r="J29" s="42" t="s">
        <v>31</v>
      </c>
      <c r="K29" s="42" t="s">
        <v>49</v>
      </c>
      <c r="L29" s="42" t="s">
        <v>31</v>
      </c>
    </row>
    <row r="30" spans="1:13" ht="13.8">
      <c r="A30" s="44" t="s">
        <v>33</v>
      </c>
      <c r="B30" s="45"/>
      <c r="C30" s="46"/>
      <c r="D30" s="46"/>
      <c r="E30" s="45"/>
      <c r="F30" s="45"/>
      <c r="G30" s="45"/>
      <c r="H30" s="45"/>
      <c r="I30" s="45"/>
      <c r="J30" s="47"/>
      <c r="K30" s="47"/>
      <c r="L30" s="47"/>
    </row>
    <row r="31" spans="1:13" ht="23.25" customHeight="1">
      <c r="A31" s="48" t="s">
        <v>39</v>
      </c>
      <c r="B31" s="49"/>
      <c r="C31" s="50">
        <v>1</v>
      </c>
      <c r="D31" s="50">
        <f>C31</f>
        <v>1</v>
      </c>
      <c r="E31" s="49">
        <v>150</v>
      </c>
      <c r="F31" s="49">
        <v>40</v>
      </c>
      <c r="G31" s="49">
        <v>40</v>
      </c>
      <c r="H31" s="49">
        <v>80</v>
      </c>
      <c r="I31" s="49">
        <v>85</v>
      </c>
      <c r="J31" s="51">
        <v>55</v>
      </c>
      <c r="K31" s="51">
        <v>20</v>
      </c>
      <c r="L31" s="51">
        <v>40</v>
      </c>
    </row>
    <row r="32" spans="1:13" ht="14.4" thickBot="1">
      <c r="A32" s="3" t="s">
        <v>34</v>
      </c>
      <c r="B32" s="52"/>
      <c r="C32" s="53">
        <f>C27</f>
        <v>465</v>
      </c>
      <c r="D32" s="53">
        <f>C32</f>
        <v>465</v>
      </c>
      <c r="E32" s="52">
        <v>5.3</v>
      </c>
      <c r="F32" s="52">
        <v>14</v>
      </c>
      <c r="G32" s="52">
        <v>11</v>
      </c>
      <c r="H32" s="52">
        <f>H27</f>
        <v>175</v>
      </c>
      <c r="I32" s="52">
        <f>I27</f>
        <v>230</v>
      </c>
      <c r="J32" s="54">
        <v>226</v>
      </c>
      <c r="K32" s="54">
        <v>40</v>
      </c>
      <c r="L32" s="54">
        <f>L27</f>
        <v>450</v>
      </c>
    </row>
    <row r="33" spans="1:12" ht="13.8">
      <c r="A33" s="55" t="s">
        <v>35</v>
      </c>
      <c r="B33" s="56"/>
      <c r="C33" s="57">
        <f>C31*C32</f>
        <v>465</v>
      </c>
      <c r="D33" s="57">
        <f>D31*D32</f>
        <v>465</v>
      </c>
      <c r="E33" s="56">
        <f>E31*E32</f>
        <v>795</v>
      </c>
      <c r="F33" s="56">
        <f>F31*F32</f>
        <v>560</v>
      </c>
      <c r="G33" s="56">
        <f>G31*G32</f>
        <v>440</v>
      </c>
      <c r="H33" s="58">
        <f>(H31/45.92)*H32</f>
        <v>304.8780487804878</v>
      </c>
      <c r="I33" s="58">
        <f>(I32/58)*I31</f>
        <v>337.06896551724139</v>
      </c>
      <c r="J33" s="58">
        <f>(J32/36.733)*J31</f>
        <v>338.38782566084996</v>
      </c>
      <c r="K33" s="58">
        <f>K31*K32</f>
        <v>800</v>
      </c>
      <c r="L33" s="58">
        <f>(L32/36.733)*L31</f>
        <v>490.02259548634748</v>
      </c>
    </row>
    <row r="34" spans="1:12" ht="19.5" customHeight="1">
      <c r="A34" s="32" t="s">
        <v>36</v>
      </c>
      <c r="B34" s="59"/>
      <c r="C34" s="60">
        <f t="shared" ref="C34:K34" si="4">C33-C26</f>
        <v>88.419999999999959</v>
      </c>
      <c r="D34" s="60">
        <f t="shared" si="4"/>
        <v>96.044999999999959</v>
      </c>
      <c r="E34" s="59">
        <f>E33-E26</f>
        <v>252.35124999999994</v>
      </c>
      <c r="F34" s="59">
        <f t="shared" si="4"/>
        <v>236.17291666666665</v>
      </c>
      <c r="G34" s="59">
        <f t="shared" si="4"/>
        <v>116.63229166666667</v>
      </c>
      <c r="H34" s="59">
        <f t="shared" si="4"/>
        <v>26.9430487804878</v>
      </c>
      <c r="I34" s="59">
        <f t="shared" si="4"/>
        <v>71.773132183908046</v>
      </c>
      <c r="J34" s="61">
        <f t="shared" si="4"/>
        <v>18.638658994183288</v>
      </c>
      <c r="K34" s="61">
        <f t="shared" si="4"/>
        <v>339.15000000000003</v>
      </c>
      <c r="L34" s="61">
        <f>L33-L26</f>
        <v>252.83092881968082</v>
      </c>
    </row>
    <row r="35" spans="1:12" ht="13.8">
      <c r="A35" s="62" t="s">
        <v>40</v>
      </c>
      <c r="B35" s="63"/>
      <c r="C35" s="64">
        <f>14*5.44</f>
        <v>76.160000000000011</v>
      </c>
      <c r="D35" s="64">
        <f>C35</f>
        <v>76.160000000000011</v>
      </c>
      <c r="E35" s="65"/>
      <c r="F35" s="65"/>
      <c r="G35" s="65"/>
      <c r="H35" s="65"/>
      <c r="I35" s="65"/>
      <c r="J35" s="65"/>
      <c r="K35" s="65">
        <f>D35</f>
        <v>76.160000000000011</v>
      </c>
      <c r="L35" s="65"/>
    </row>
    <row r="36" spans="1:12" ht="31.5" customHeight="1">
      <c r="A36" s="66" t="s">
        <v>41</v>
      </c>
      <c r="B36" s="67"/>
      <c r="C36" s="68">
        <f>SUM(C34:C35)</f>
        <v>164.57999999999998</v>
      </c>
      <c r="D36" s="68">
        <f>SUM(D34:D35)</f>
        <v>172.20499999999998</v>
      </c>
      <c r="E36" s="69"/>
      <c r="F36" s="69"/>
      <c r="G36" s="69"/>
      <c r="H36" s="69"/>
      <c r="I36" s="69"/>
      <c r="J36" s="69"/>
      <c r="K36" s="68">
        <f>SUM(K34:K35)</f>
        <v>415.31000000000006</v>
      </c>
      <c r="L36" s="69"/>
    </row>
    <row r="37" spans="1:12" ht="5.25" customHeight="1">
      <c r="A37" s="70"/>
      <c r="B37" s="70"/>
      <c r="C37" s="71"/>
      <c r="D37" s="71"/>
      <c r="E37" s="71"/>
      <c r="F37" s="71"/>
      <c r="G37" s="71"/>
      <c r="H37" s="71"/>
      <c r="I37" s="71"/>
      <c r="J37" s="71"/>
      <c r="K37" s="71"/>
      <c r="L37" s="70"/>
    </row>
    <row r="38" spans="1:12" ht="1.5" customHeight="1">
      <c r="A38" s="70"/>
      <c r="B38" s="70"/>
      <c r="C38" s="71"/>
      <c r="D38" s="71"/>
      <c r="E38" s="71"/>
      <c r="F38" s="71"/>
      <c r="G38" s="71"/>
      <c r="H38" s="71"/>
      <c r="I38" s="71"/>
      <c r="J38" s="71"/>
      <c r="K38" s="71"/>
      <c r="L38" s="70"/>
    </row>
    <row r="39" spans="1:12" ht="13.8">
      <c r="A39" s="70"/>
      <c r="B39" s="70"/>
      <c r="C39" s="71"/>
      <c r="D39" s="71"/>
      <c r="E39" s="71"/>
      <c r="F39" s="71"/>
      <c r="G39" s="71"/>
      <c r="H39" s="71"/>
      <c r="I39" s="71"/>
      <c r="J39" s="71"/>
      <c r="K39" s="71"/>
      <c r="L39" s="70"/>
    </row>
    <row r="40" spans="1:12" ht="13.8">
      <c r="A40" s="70"/>
      <c r="B40" s="70"/>
      <c r="C40" s="71"/>
      <c r="D40" s="71"/>
      <c r="E40" s="71"/>
      <c r="F40" s="71"/>
      <c r="G40" s="71"/>
      <c r="H40" s="71"/>
      <c r="I40" s="71"/>
      <c r="J40" s="71"/>
      <c r="K40" s="71"/>
      <c r="L40" s="70"/>
    </row>
  </sheetData>
  <mergeCells count="13">
    <mergeCell ref="J2:J4"/>
    <mergeCell ref="K2:K4"/>
    <mergeCell ref="L2:L4"/>
    <mergeCell ref="A1:L1"/>
    <mergeCell ref="A2:A4"/>
    <mergeCell ref="B2:B4"/>
    <mergeCell ref="C2:C4"/>
    <mergeCell ref="D2:D4"/>
    <mergeCell ref="E2:E4"/>
    <mergeCell ref="F2:F4"/>
    <mergeCell ref="G2:G4"/>
    <mergeCell ref="H2:H4"/>
    <mergeCell ref="I2:I4"/>
  </mergeCells>
  <pageMargins left="0.25" right="0.25" top="0.75" bottom="0.75" header="0.3" footer="0.3"/>
  <pageSetup scale="79" fitToWidth="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6"/>
  <sheetViews>
    <sheetView zoomScaleNormal="100" workbookViewId="0">
      <selection activeCell="M34" sqref="M34"/>
    </sheetView>
  </sheetViews>
  <sheetFormatPr defaultRowHeight="13.2"/>
  <cols>
    <col min="1" max="1" width="27.109375" customWidth="1"/>
    <col min="2" max="2" width="15.33203125" hidden="1" customWidth="1"/>
    <col min="3" max="3" width="13" style="1" customWidth="1"/>
    <col min="4" max="4" width="13.44140625" style="1" customWidth="1"/>
    <col min="5" max="5" width="11.88671875" style="1" customWidth="1"/>
    <col min="6" max="6" width="14.88671875" style="1" customWidth="1"/>
    <col min="7" max="7" width="11.88671875" style="1" customWidth="1"/>
    <col min="8" max="8" width="13" style="1" customWidth="1"/>
    <col min="9" max="9" width="12.5546875" style="1" customWidth="1"/>
    <col min="10" max="10" width="16.109375" style="1" customWidth="1"/>
    <col min="11" max="11" width="13.6640625" style="1" customWidth="1"/>
    <col min="12" max="12" width="9.5546875" customWidth="1"/>
  </cols>
  <sheetData>
    <row r="1" spans="1:12" ht="22.5" customHeight="1" thickBot="1">
      <c r="A1" s="289" t="s">
        <v>52</v>
      </c>
      <c r="B1" s="290"/>
      <c r="C1" s="290"/>
      <c r="D1" s="290"/>
      <c r="E1" s="290"/>
      <c r="F1" s="290"/>
      <c r="G1" s="290"/>
      <c r="H1" s="290"/>
      <c r="I1" s="290"/>
      <c r="J1" s="290"/>
      <c r="K1" s="290"/>
      <c r="L1" s="291"/>
    </row>
    <row r="2" spans="1:12" ht="12.75" customHeight="1">
      <c r="A2" s="280"/>
      <c r="B2" s="276" t="s">
        <v>0</v>
      </c>
      <c r="C2" s="285" t="s">
        <v>38</v>
      </c>
      <c r="D2" s="285" t="s">
        <v>1</v>
      </c>
      <c r="E2" s="276" t="s">
        <v>37</v>
      </c>
      <c r="F2" s="276" t="s">
        <v>43</v>
      </c>
      <c r="G2" s="276" t="s">
        <v>2</v>
      </c>
      <c r="H2" s="276" t="s">
        <v>3</v>
      </c>
      <c r="I2" s="276" t="s">
        <v>4</v>
      </c>
      <c r="J2" s="273" t="s">
        <v>66</v>
      </c>
      <c r="K2" s="276" t="s">
        <v>47</v>
      </c>
      <c r="L2" s="273" t="s">
        <v>95</v>
      </c>
    </row>
    <row r="3" spans="1:12" ht="12.75" customHeight="1">
      <c r="A3" s="280"/>
      <c r="B3" s="282"/>
      <c r="C3" s="285"/>
      <c r="D3" s="287"/>
      <c r="E3" s="282"/>
      <c r="F3" s="282"/>
      <c r="G3" s="282"/>
      <c r="H3" s="276"/>
      <c r="I3" s="276"/>
      <c r="J3" s="273"/>
      <c r="K3" s="276"/>
      <c r="L3" s="273"/>
    </row>
    <row r="4" spans="1:12" ht="18" customHeight="1" thickBot="1">
      <c r="A4" s="281"/>
      <c r="B4" s="283"/>
      <c r="C4" s="286"/>
      <c r="D4" s="288"/>
      <c r="E4" s="283"/>
      <c r="F4" s="283"/>
      <c r="G4" s="283"/>
      <c r="H4" s="277"/>
      <c r="I4" s="277"/>
      <c r="J4" s="274"/>
      <c r="K4" s="277"/>
      <c r="L4" s="274"/>
    </row>
    <row r="5" spans="1:12" ht="14.4" thickBot="1">
      <c r="A5" s="3" t="s">
        <v>5</v>
      </c>
      <c r="B5" s="4" t="s">
        <v>6</v>
      </c>
      <c r="C5" s="5">
        <v>75</v>
      </c>
      <c r="D5" s="5">
        <v>62</v>
      </c>
      <c r="E5" s="6">
        <v>120</v>
      </c>
      <c r="F5" s="6">
        <v>95</v>
      </c>
      <c r="G5" s="6">
        <v>105</v>
      </c>
      <c r="H5" s="6">
        <v>49</v>
      </c>
      <c r="I5" s="6">
        <v>36.25</v>
      </c>
      <c r="J5" s="7">
        <v>62.25</v>
      </c>
      <c r="K5" s="7">
        <v>80.599999999999994</v>
      </c>
      <c r="L5" s="7">
        <v>75</v>
      </c>
    </row>
    <row r="6" spans="1:12" ht="30.75" customHeight="1" thickBot="1">
      <c r="A6" s="3" t="s">
        <v>62</v>
      </c>
      <c r="B6" s="8"/>
      <c r="C6" s="9"/>
      <c r="D6" s="9"/>
      <c r="E6" s="10">
        <v>0</v>
      </c>
      <c r="F6" s="10">
        <v>10.1</v>
      </c>
      <c r="G6" s="10">
        <v>10.1</v>
      </c>
      <c r="H6" s="10"/>
      <c r="I6" s="10"/>
      <c r="J6" s="11"/>
      <c r="K6" s="11"/>
      <c r="L6" s="11"/>
    </row>
    <row r="7" spans="1:12" ht="21.75" customHeight="1" thickBot="1">
      <c r="A7" s="3" t="s">
        <v>53</v>
      </c>
      <c r="B7" s="8" t="s">
        <v>9</v>
      </c>
      <c r="C7" s="9">
        <v>75</v>
      </c>
      <c r="D7" s="9">
        <f>C7</f>
        <v>75</v>
      </c>
      <c r="E7" s="10">
        <v>80</v>
      </c>
      <c r="F7" s="10">
        <v>55</v>
      </c>
      <c r="G7" s="10">
        <v>55</v>
      </c>
      <c r="H7" s="10">
        <v>48</v>
      </c>
      <c r="I7" s="10">
        <v>35</v>
      </c>
      <c r="J7" s="11">
        <v>67</v>
      </c>
      <c r="K7" s="11">
        <v>45</v>
      </c>
      <c r="L7" s="11">
        <v>60</v>
      </c>
    </row>
    <row r="8" spans="1:12" ht="18" customHeight="1" thickBot="1">
      <c r="A8" s="3" t="s">
        <v>10</v>
      </c>
      <c r="B8" s="8"/>
      <c r="C8" s="9">
        <v>22</v>
      </c>
      <c r="D8" s="9">
        <f>C8</f>
        <v>22</v>
      </c>
      <c r="E8" s="10">
        <v>16</v>
      </c>
      <c r="F8" s="10">
        <v>16</v>
      </c>
      <c r="G8" s="10">
        <v>16</v>
      </c>
      <c r="H8" s="10">
        <v>17</v>
      </c>
      <c r="I8" s="10">
        <v>16</v>
      </c>
      <c r="J8" s="11">
        <v>17</v>
      </c>
      <c r="K8" s="11">
        <v>68</v>
      </c>
      <c r="L8" s="11">
        <v>16</v>
      </c>
    </row>
    <row r="9" spans="1:12" ht="14.4" thickBot="1">
      <c r="A9" s="3" t="s">
        <v>11</v>
      </c>
      <c r="B9" s="8"/>
      <c r="C9" s="9">
        <v>7</v>
      </c>
      <c r="D9" s="9">
        <f>C9</f>
        <v>7</v>
      </c>
      <c r="E9" s="10"/>
      <c r="F9" s="10"/>
      <c r="G9" s="10"/>
      <c r="H9" s="10"/>
      <c r="I9" s="10"/>
      <c r="J9" s="11"/>
      <c r="K9" s="11"/>
      <c r="L9" s="11"/>
    </row>
    <row r="10" spans="1:12" ht="15.75" customHeight="1" thickBot="1">
      <c r="A10" s="3" t="s">
        <v>46</v>
      </c>
      <c r="B10" s="8" t="s">
        <v>12</v>
      </c>
      <c r="C10" s="9">
        <v>20</v>
      </c>
      <c r="D10" s="9">
        <v>6</v>
      </c>
      <c r="E10" s="10">
        <v>20</v>
      </c>
      <c r="F10" s="10">
        <v>60</v>
      </c>
      <c r="G10" s="10">
        <v>17</v>
      </c>
      <c r="H10" s="10">
        <v>7.5</v>
      </c>
      <c r="I10" s="10">
        <v>7.5</v>
      </c>
      <c r="J10" s="11">
        <f>I10</f>
        <v>7.5</v>
      </c>
      <c r="K10" s="11">
        <v>53</v>
      </c>
      <c r="L10" s="11">
        <v>60</v>
      </c>
    </row>
    <row r="11" spans="1:12" s="79" customFormat="1" ht="14.4" thickBot="1">
      <c r="A11" s="75" t="s">
        <v>13</v>
      </c>
      <c r="B11" s="76"/>
      <c r="C11" s="76">
        <f t="shared" ref="C11:L11" si="0">SUM(C5:C10)</f>
        <v>199</v>
      </c>
      <c r="D11" s="76">
        <f t="shared" si="0"/>
        <v>172</v>
      </c>
      <c r="E11" s="76">
        <f t="shared" si="0"/>
        <v>236</v>
      </c>
      <c r="F11" s="76">
        <f t="shared" si="0"/>
        <v>236.1</v>
      </c>
      <c r="G11" s="76">
        <f t="shared" si="0"/>
        <v>203.1</v>
      </c>
      <c r="H11" s="76">
        <f t="shared" si="0"/>
        <v>121.5</v>
      </c>
      <c r="I11" s="76">
        <f t="shared" si="0"/>
        <v>94.75</v>
      </c>
      <c r="J11" s="77">
        <f t="shared" si="0"/>
        <v>153.75</v>
      </c>
      <c r="K11" s="77">
        <f t="shared" si="0"/>
        <v>246.6</v>
      </c>
      <c r="L11" s="78">
        <f t="shared" si="0"/>
        <v>211</v>
      </c>
    </row>
    <row r="12" spans="1:12" ht="3" customHeight="1" thickBot="1">
      <c r="A12" s="15"/>
      <c r="B12" s="16"/>
      <c r="C12" s="17"/>
      <c r="D12" s="17"/>
      <c r="E12" s="16"/>
      <c r="F12" s="16"/>
      <c r="G12" s="16"/>
      <c r="H12" s="16"/>
      <c r="I12" s="16"/>
      <c r="J12" s="18"/>
      <c r="K12" s="18"/>
      <c r="L12" s="18"/>
    </row>
    <row r="13" spans="1:12" ht="14.4" thickBot="1">
      <c r="A13" s="15" t="s">
        <v>14</v>
      </c>
      <c r="B13" s="19" t="s">
        <v>15</v>
      </c>
      <c r="C13" s="9">
        <v>20</v>
      </c>
      <c r="D13" s="9">
        <f>C13</f>
        <v>20</v>
      </c>
      <c r="E13" s="19">
        <v>40</v>
      </c>
      <c r="F13" s="19">
        <v>20</v>
      </c>
      <c r="G13" s="19">
        <v>20</v>
      </c>
      <c r="H13" s="19">
        <f>I13</f>
        <v>50</v>
      </c>
      <c r="I13" s="19">
        <v>50</v>
      </c>
      <c r="J13" s="20">
        <v>50</v>
      </c>
      <c r="K13" s="20">
        <v>50</v>
      </c>
      <c r="L13" s="20">
        <f>D13</f>
        <v>20</v>
      </c>
    </row>
    <row r="14" spans="1:12" ht="14.4" thickBot="1">
      <c r="A14" s="15" t="s">
        <v>16</v>
      </c>
      <c r="B14" s="19"/>
      <c r="C14" s="9">
        <v>20</v>
      </c>
      <c r="D14" s="9">
        <f>C14</f>
        <v>20</v>
      </c>
      <c r="E14" s="19">
        <v>22</v>
      </c>
      <c r="F14" s="19">
        <v>22</v>
      </c>
      <c r="G14" s="19">
        <f>F14</f>
        <v>22</v>
      </c>
      <c r="H14" s="19">
        <f>I14</f>
        <v>20</v>
      </c>
      <c r="I14" s="19">
        <v>20</v>
      </c>
      <c r="J14" s="20">
        <f>C14</f>
        <v>20</v>
      </c>
      <c r="K14" s="20">
        <v>27</v>
      </c>
      <c r="L14" s="20">
        <f>D14</f>
        <v>20</v>
      </c>
    </row>
    <row r="15" spans="1:12" ht="14.4" thickBot="1">
      <c r="A15" s="15" t="s">
        <v>17</v>
      </c>
      <c r="B15" s="19"/>
      <c r="C15" s="9">
        <v>30</v>
      </c>
      <c r="D15" s="9">
        <f>C15</f>
        <v>30</v>
      </c>
      <c r="E15" s="19">
        <v>30</v>
      </c>
      <c r="F15" s="19">
        <v>30</v>
      </c>
      <c r="G15" s="19">
        <v>30</v>
      </c>
      <c r="H15" s="19">
        <v>20</v>
      </c>
      <c r="I15" s="19">
        <v>20</v>
      </c>
      <c r="J15" s="20">
        <f>I15</f>
        <v>20</v>
      </c>
      <c r="K15" s="20">
        <v>40</v>
      </c>
      <c r="L15" s="20">
        <v>30</v>
      </c>
    </row>
    <row r="16" spans="1:12" ht="14.4" thickBot="1">
      <c r="A16" s="15" t="s">
        <v>18</v>
      </c>
      <c r="B16" s="19"/>
      <c r="C16" s="9">
        <v>10</v>
      </c>
      <c r="D16" s="9">
        <f>C16</f>
        <v>10</v>
      </c>
      <c r="E16" s="19">
        <v>0</v>
      </c>
      <c r="F16" s="19">
        <v>10</v>
      </c>
      <c r="G16" s="19">
        <f>F16</f>
        <v>10</v>
      </c>
      <c r="H16" s="19">
        <v>10</v>
      </c>
      <c r="I16" s="19">
        <v>10</v>
      </c>
      <c r="J16" s="20">
        <f>I16</f>
        <v>10</v>
      </c>
      <c r="K16" s="20">
        <v>10</v>
      </c>
      <c r="L16" s="20">
        <f>J16</f>
        <v>10</v>
      </c>
    </row>
    <row r="17" spans="1:13" ht="12.75" hidden="1" customHeight="1" thickBot="1">
      <c r="A17" s="15" t="s">
        <v>19</v>
      </c>
      <c r="B17" s="19"/>
      <c r="C17" s="9"/>
      <c r="D17" s="9"/>
      <c r="E17" s="19"/>
      <c r="F17" s="19"/>
      <c r="G17" s="19"/>
      <c r="H17" s="19"/>
      <c r="I17" s="19"/>
      <c r="J17" s="20"/>
      <c r="K17" s="20"/>
      <c r="L17" s="20"/>
    </row>
    <row r="18" spans="1:13" ht="23.25" customHeight="1" thickBot="1">
      <c r="A18" s="15" t="s">
        <v>20</v>
      </c>
      <c r="B18" s="19" t="s">
        <v>21</v>
      </c>
      <c r="C18" s="9">
        <v>46</v>
      </c>
      <c r="D18" s="9">
        <f>C18</f>
        <v>46</v>
      </c>
      <c r="E18" s="19">
        <v>75</v>
      </c>
      <c r="F18" s="19">
        <v>51</v>
      </c>
      <c r="G18" s="19">
        <f>F18</f>
        <v>51</v>
      </c>
      <c r="H18" s="19">
        <f>I18</f>
        <v>50</v>
      </c>
      <c r="I18" s="19">
        <v>50</v>
      </c>
      <c r="J18" s="20">
        <v>50</v>
      </c>
      <c r="K18" s="20">
        <v>55</v>
      </c>
      <c r="L18" s="20">
        <v>51</v>
      </c>
    </row>
    <row r="19" spans="1:13" ht="14.4" thickBot="1">
      <c r="A19" s="21" t="s">
        <v>22</v>
      </c>
      <c r="B19" s="22"/>
      <c r="C19" s="23">
        <f t="shared" ref="C19:K19" si="1">SUM(C13:C18)</f>
        <v>126</v>
      </c>
      <c r="D19" s="23">
        <f t="shared" si="1"/>
        <v>126</v>
      </c>
      <c r="E19" s="22">
        <f>SUM(E13:E18)</f>
        <v>167</v>
      </c>
      <c r="F19" s="22">
        <f t="shared" si="1"/>
        <v>133</v>
      </c>
      <c r="G19" s="22">
        <f t="shared" si="1"/>
        <v>133</v>
      </c>
      <c r="H19" s="22">
        <f t="shared" si="1"/>
        <v>150</v>
      </c>
      <c r="I19" s="22">
        <f t="shared" si="1"/>
        <v>150</v>
      </c>
      <c r="J19" s="24">
        <f t="shared" si="1"/>
        <v>150</v>
      </c>
      <c r="K19" s="24">
        <f t="shared" si="1"/>
        <v>182</v>
      </c>
      <c r="L19" s="24">
        <f>SUM(L13:L18)</f>
        <v>131</v>
      </c>
    </row>
    <row r="20" spans="1:13" ht="3" customHeight="1">
      <c r="A20" s="25"/>
      <c r="B20" s="26"/>
      <c r="C20" s="27"/>
      <c r="D20" s="27"/>
      <c r="E20" s="26"/>
      <c r="F20" s="26"/>
      <c r="G20" s="26"/>
      <c r="H20" s="26"/>
      <c r="I20" s="26"/>
      <c r="J20" s="26"/>
      <c r="K20" s="26"/>
      <c r="L20" s="26"/>
    </row>
    <row r="21" spans="1:13" ht="14.4" thickBot="1">
      <c r="A21" s="3" t="s">
        <v>23</v>
      </c>
      <c r="B21" s="10"/>
      <c r="C21" s="9"/>
      <c r="D21" s="9"/>
      <c r="E21" s="10">
        <v>75.2</v>
      </c>
      <c r="F21" s="10">
        <v>12.3</v>
      </c>
      <c r="G21" s="10">
        <v>12.3</v>
      </c>
      <c r="H21" s="10"/>
      <c r="I21" s="10"/>
      <c r="J21" s="11"/>
      <c r="K21" s="11"/>
      <c r="L21" s="11"/>
    </row>
    <row r="22" spans="1:13" ht="21.75" customHeight="1" thickBot="1">
      <c r="A22" s="3" t="s">
        <v>24</v>
      </c>
      <c r="B22" s="10"/>
      <c r="C22" s="9">
        <v>17.600000000000001</v>
      </c>
      <c r="D22" s="9">
        <f>C22</f>
        <v>17.600000000000001</v>
      </c>
      <c r="E22" s="10">
        <v>13.85</v>
      </c>
      <c r="F22" s="10">
        <v>12</v>
      </c>
      <c r="G22" s="10">
        <f>F22</f>
        <v>12</v>
      </c>
      <c r="H22" s="10">
        <f>I22</f>
        <v>6.8</v>
      </c>
      <c r="I22" s="10">
        <v>6.8</v>
      </c>
      <c r="J22" s="11">
        <v>10.4</v>
      </c>
      <c r="K22" s="11">
        <v>21.35</v>
      </c>
      <c r="L22" s="11"/>
    </row>
    <row r="23" spans="1:13" ht="14.4" thickBot="1">
      <c r="A23" s="3" t="s">
        <v>25</v>
      </c>
      <c r="B23" s="10"/>
      <c r="C23" s="9">
        <v>6.05</v>
      </c>
      <c r="D23" s="9">
        <f t="shared" ref="D23" si="2">(D11+0.5*D19)*((0.05/12)*4)</f>
        <v>3.9166666666666665</v>
      </c>
      <c r="E23" s="28">
        <v>9.75</v>
      </c>
      <c r="F23" s="28">
        <v>5.0999999999999996</v>
      </c>
      <c r="G23" s="28">
        <v>5.15</v>
      </c>
      <c r="H23" s="28">
        <v>6.43</v>
      </c>
      <c r="I23" s="28">
        <v>3.3</v>
      </c>
      <c r="J23" s="28">
        <v>5.05</v>
      </c>
      <c r="K23" s="28">
        <v>8</v>
      </c>
      <c r="L23" s="28">
        <v>3.5</v>
      </c>
    </row>
    <row r="24" spans="1:13" ht="14.4" thickBot="1">
      <c r="A24" s="3" t="s">
        <v>42</v>
      </c>
      <c r="B24" s="10"/>
      <c r="C24" s="9">
        <v>3.65</v>
      </c>
      <c r="D24" s="9">
        <f>C24</f>
        <v>3.65</v>
      </c>
      <c r="E24" s="10">
        <v>33.15</v>
      </c>
      <c r="F24" s="10">
        <v>12</v>
      </c>
      <c r="G24" s="10">
        <f>F24</f>
        <v>12</v>
      </c>
      <c r="H24" s="10"/>
      <c r="I24" s="10"/>
      <c r="J24" s="11">
        <v>1.1000000000000001</v>
      </c>
      <c r="K24" s="11">
        <v>6.9</v>
      </c>
      <c r="L24" s="11"/>
    </row>
    <row r="25" spans="1:13" ht="13.8">
      <c r="A25" s="29" t="s">
        <v>26</v>
      </c>
      <c r="B25" s="30"/>
      <c r="C25" s="31">
        <f>SUM(C21:C24)</f>
        <v>27.3</v>
      </c>
      <c r="D25" s="31">
        <f>SUM(D21:D24)</f>
        <v>25.166666666666668</v>
      </c>
      <c r="E25" s="30">
        <f>SUM(E21:E24)</f>
        <v>131.94999999999999</v>
      </c>
      <c r="F25" s="30">
        <f>SUM(F21:F24)</f>
        <v>41.4</v>
      </c>
      <c r="G25" s="30">
        <f>F25</f>
        <v>41.4</v>
      </c>
      <c r="H25" s="30">
        <f>SUM(H21:H24)</f>
        <v>13.23</v>
      </c>
      <c r="I25" s="30">
        <f>SUM(I21:I24)</f>
        <v>10.1</v>
      </c>
      <c r="J25" s="30">
        <f>SUM(J21:J24)</f>
        <v>16.55</v>
      </c>
      <c r="K25" s="30">
        <f>SUM(K22:K24)</f>
        <v>36.25</v>
      </c>
      <c r="L25" s="30">
        <f>SUM(L21:L24)</f>
        <v>3.5</v>
      </c>
    </row>
    <row r="26" spans="1:13" ht="20.25" customHeight="1">
      <c r="A26" s="72" t="s">
        <v>27</v>
      </c>
      <c r="B26" s="73"/>
      <c r="C26" s="73">
        <f t="shared" ref="C26:K26" si="3">SUM(C21:C24)+C19+C11</f>
        <v>352.3</v>
      </c>
      <c r="D26" s="73">
        <f t="shared" si="3"/>
        <v>323.16666666666663</v>
      </c>
      <c r="E26" s="73">
        <f>SUM(E21:E24)+E19+E11</f>
        <v>534.95000000000005</v>
      </c>
      <c r="F26" s="73">
        <f t="shared" si="3"/>
        <v>410.5</v>
      </c>
      <c r="G26" s="73">
        <f t="shared" si="3"/>
        <v>377.54999999999995</v>
      </c>
      <c r="H26" s="74">
        <f t="shared" si="3"/>
        <v>284.73</v>
      </c>
      <c r="I26" s="119">
        <f t="shared" si="3"/>
        <v>254.85</v>
      </c>
      <c r="J26" s="101">
        <f t="shared" si="3"/>
        <v>320.3</v>
      </c>
      <c r="K26" s="101">
        <f t="shared" si="3"/>
        <v>464.85</v>
      </c>
      <c r="L26" s="101">
        <f>SUM(L21:L24)+L19+L11</f>
        <v>345.5</v>
      </c>
    </row>
    <row r="27" spans="1:13" ht="20.25" customHeight="1">
      <c r="A27" s="81" t="s">
        <v>54</v>
      </c>
      <c r="B27" s="82"/>
      <c r="C27" s="82"/>
      <c r="D27" s="82"/>
      <c r="E27" s="82"/>
      <c r="F27" s="82"/>
      <c r="G27" s="82"/>
      <c r="H27" s="83"/>
      <c r="I27" s="83"/>
      <c r="J27" s="92"/>
      <c r="K27" s="92"/>
      <c r="L27" s="92"/>
    </row>
    <row r="28" spans="1:13" ht="20.25" customHeight="1">
      <c r="A28" s="84" t="s">
        <v>55</v>
      </c>
      <c r="B28" s="80"/>
      <c r="C28" s="85"/>
      <c r="D28" s="85"/>
      <c r="E28" s="85"/>
      <c r="F28" s="85"/>
      <c r="G28" s="85"/>
      <c r="H28" s="86">
        <v>25</v>
      </c>
      <c r="I28" s="86">
        <v>24</v>
      </c>
      <c r="J28" s="86">
        <v>15</v>
      </c>
      <c r="K28" s="86"/>
      <c r="L28" s="86">
        <v>25</v>
      </c>
    </row>
    <row r="29" spans="1:13" ht="20.25" customHeight="1" thickBot="1">
      <c r="A29" s="97" t="s">
        <v>61</v>
      </c>
      <c r="B29" s="98"/>
      <c r="C29" s="99"/>
      <c r="D29" s="99"/>
      <c r="E29" s="99"/>
      <c r="F29" s="99"/>
      <c r="G29" s="99"/>
      <c r="H29" s="100">
        <v>26</v>
      </c>
      <c r="I29" s="100">
        <v>26</v>
      </c>
      <c r="J29" s="100">
        <v>25</v>
      </c>
      <c r="K29" s="100"/>
      <c r="L29" s="100">
        <v>26</v>
      </c>
    </row>
    <row r="30" spans="1:13" ht="19.5" customHeight="1">
      <c r="A30" s="95" t="s">
        <v>50</v>
      </c>
      <c r="B30" s="96"/>
      <c r="C30" s="96">
        <v>500</v>
      </c>
      <c r="D30" s="96">
        <v>442</v>
      </c>
      <c r="E30" s="96">
        <v>4.6399999999999997</v>
      </c>
      <c r="F30" s="96">
        <v>15</v>
      </c>
      <c r="G30" s="96">
        <v>12.5</v>
      </c>
      <c r="H30" s="96">
        <v>175</v>
      </c>
      <c r="I30" s="96">
        <v>230</v>
      </c>
      <c r="J30" s="96">
        <v>230</v>
      </c>
      <c r="K30" s="96">
        <v>36</v>
      </c>
      <c r="L30" s="96">
        <v>300</v>
      </c>
    </row>
    <row r="31" spans="1:13" ht="15" customHeight="1">
      <c r="A31" s="39" t="s">
        <v>29</v>
      </c>
      <c r="B31" s="40"/>
      <c r="C31" s="101">
        <f>(C26/C30)</f>
        <v>0.7046</v>
      </c>
      <c r="D31" s="101">
        <f>(D26/D30)</f>
        <v>0.7311463046757164</v>
      </c>
      <c r="E31" s="40">
        <f>E26/E30</f>
        <v>115.29094827586209</v>
      </c>
      <c r="F31" s="40">
        <f>F26/F30</f>
        <v>27.366666666666667</v>
      </c>
      <c r="G31" s="40">
        <f>G26/G30</f>
        <v>30.203999999999997</v>
      </c>
      <c r="H31" s="40">
        <f>(H26/(H30/45.92))</f>
        <v>74.713152000000008</v>
      </c>
      <c r="I31" s="40">
        <f>(I26/I30)*58</f>
        <v>64.266521739130425</v>
      </c>
      <c r="J31" s="40">
        <f>(J26/J30)*36.73</f>
        <v>51.150517391304341</v>
      </c>
      <c r="K31" s="40">
        <f>K26/K30</f>
        <v>12.912500000000001</v>
      </c>
      <c r="L31" s="40">
        <f>(L26/L30)*36.73</f>
        <v>42.300716666666659</v>
      </c>
      <c r="M31" s="106"/>
    </row>
    <row r="32" spans="1:13" ht="24" customHeight="1">
      <c r="A32" s="39" t="s">
        <v>64</v>
      </c>
      <c r="B32" s="42"/>
      <c r="C32" s="43" t="s">
        <v>63</v>
      </c>
      <c r="D32" s="43" t="s">
        <v>63</v>
      </c>
      <c r="E32" s="42" t="s">
        <v>31</v>
      </c>
      <c r="F32" s="42" t="s">
        <v>31</v>
      </c>
      <c r="G32" s="42" t="s">
        <v>31</v>
      </c>
      <c r="H32" s="42" t="s">
        <v>31</v>
      </c>
      <c r="I32" s="42" t="s">
        <v>31</v>
      </c>
      <c r="J32" s="42" t="s">
        <v>31</v>
      </c>
      <c r="K32" s="42" t="s">
        <v>65</v>
      </c>
      <c r="L32" s="42" t="s">
        <v>31</v>
      </c>
    </row>
    <row r="33" spans="1:12" ht="13.8">
      <c r="A33" s="44" t="s">
        <v>33</v>
      </c>
      <c r="B33" s="45"/>
      <c r="C33" s="93"/>
      <c r="D33" s="93"/>
      <c r="E33" s="45"/>
      <c r="F33" s="45"/>
      <c r="G33" s="45"/>
      <c r="H33" s="45"/>
      <c r="I33" s="45"/>
      <c r="J33" s="47"/>
      <c r="K33" s="42"/>
      <c r="L33" s="94"/>
    </row>
    <row r="34" spans="1:12" ht="23.25" customHeight="1">
      <c r="A34" s="103" t="s">
        <v>51</v>
      </c>
      <c r="B34" s="104"/>
      <c r="C34" s="104">
        <v>1.3</v>
      </c>
      <c r="D34" s="104">
        <f>C34</f>
        <v>1.3</v>
      </c>
      <c r="E34" s="105">
        <v>160</v>
      </c>
      <c r="F34" s="105">
        <v>45</v>
      </c>
      <c r="G34" s="105">
        <v>45</v>
      </c>
      <c r="H34" s="105">
        <v>80</v>
      </c>
      <c r="I34" s="105">
        <v>85</v>
      </c>
      <c r="J34" s="102">
        <v>55</v>
      </c>
      <c r="K34" s="102">
        <v>18</v>
      </c>
      <c r="L34" s="102">
        <v>55</v>
      </c>
    </row>
    <row r="35" spans="1:12" ht="14.4" thickBot="1">
      <c r="A35" s="3" t="s">
        <v>34</v>
      </c>
      <c r="B35" s="52"/>
      <c r="C35" s="53">
        <f>C30</f>
        <v>500</v>
      </c>
      <c r="D35" s="53">
        <f>C35</f>
        <v>500</v>
      </c>
      <c r="E35" s="52">
        <f>E30</f>
        <v>4.6399999999999997</v>
      </c>
      <c r="F35" s="52">
        <v>15</v>
      </c>
      <c r="G35" s="52">
        <v>12.5</v>
      </c>
      <c r="H35" s="52">
        <f>H30</f>
        <v>175</v>
      </c>
      <c r="I35" s="52">
        <f>I30</f>
        <v>230</v>
      </c>
      <c r="J35" s="54">
        <v>256</v>
      </c>
      <c r="K35" s="54">
        <f>K30</f>
        <v>36</v>
      </c>
      <c r="L35" s="54">
        <f>L30</f>
        <v>300</v>
      </c>
    </row>
    <row r="36" spans="1:12" ht="13.8">
      <c r="A36" s="55" t="s">
        <v>56</v>
      </c>
      <c r="B36" s="56"/>
      <c r="C36" s="57">
        <f>C34*C35</f>
        <v>650</v>
      </c>
      <c r="D36" s="57">
        <f>D34*D35</f>
        <v>650</v>
      </c>
      <c r="E36" s="56">
        <f>E34*E35</f>
        <v>742.4</v>
      </c>
      <c r="F36" s="56">
        <f>F34*F35</f>
        <v>675</v>
      </c>
      <c r="G36" s="56">
        <f>G34*G35</f>
        <v>562.5</v>
      </c>
      <c r="H36" s="58">
        <f>(H34/45.92)*H35</f>
        <v>304.8780487804878</v>
      </c>
      <c r="I36" s="58">
        <f>(I35/58)*I34</f>
        <v>337.06896551724139</v>
      </c>
      <c r="J36" s="58">
        <f>(J35/36.733)*J34</f>
        <v>383.30656358043177</v>
      </c>
      <c r="K36" s="58">
        <f>K34*K35</f>
        <v>648</v>
      </c>
      <c r="L36" s="58">
        <f>(L35/36.733)*L34</f>
        <v>449.18737919581849</v>
      </c>
    </row>
    <row r="37" spans="1:12" ht="19.5" customHeight="1">
      <c r="A37" s="32" t="s">
        <v>36</v>
      </c>
      <c r="B37" s="59"/>
      <c r="C37" s="109">
        <f t="shared" ref="C37:K37" si="4">C36-C26</f>
        <v>297.7</v>
      </c>
      <c r="D37" s="109">
        <f t="shared" si="4"/>
        <v>326.83333333333337</v>
      </c>
      <c r="E37" s="107">
        <f>E36-E26</f>
        <v>207.44999999999993</v>
      </c>
      <c r="F37" s="107">
        <f t="shared" si="4"/>
        <v>264.5</v>
      </c>
      <c r="G37" s="107">
        <f t="shared" si="4"/>
        <v>184.95000000000005</v>
      </c>
      <c r="H37" s="107">
        <f t="shared" si="4"/>
        <v>20.148048780487784</v>
      </c>
      <c r="I37" s="107">
        <f t="shared" si="4"/>
        <v>82.218965517241401</v>
      </c>
      <c r="J37" s="108">
        <f t="shared" si="4"/>
        <v>63.006563580431759</v>
      </c>
      <c r="K37" s="108">
        <f t="shared" si="4"/>
        <v>183.14999999999998</v>
      </c>
      <c r="L37" s="108">
        <f>L36-L26</f>
        <v>103.68737919581849</v>
      </c>
    </row>
    <row r="38" spans="1:12" ht="19.5" customHeight="1">
      <c r="A38" s="88" t="s">
        <v>58</v>
      </c>
      <c r="B38" s="89"/>
      <c r="C38" s="87"/>
      <c r="D38" s="87"/>
      <c r="E38" s="86"/>
      <c r="F38" s="86"/>
      <c r="G38" s="86"/>
      <c r="H38" s="86">
        <v>1.25</v>
      </c>
      <c r="I38" s="86">
        <v>1.75</v>
      </c>
      <c r="J38" s="86">
        <v>1.5</v>
      </c>
      <c r="K38" s="86"/>
      <c r="L38" s="87"/>
    </row>
    <row r="39" spans="1:12" ht="19.5" customHeight="1">
      <c r="A39" s="88" t="s">
        <v>60</v>
      </c>
      <c r="B39" s="89"/>
      <c r="C39" s="110"/>
      <c r="D39" s="110"/>
      <c r="E39" s="111"/>
      <c r="F39" s="111"/>
      <c r="G39" s="111"/>
      <c r="H39" s="115">
        <v>120</v>
      </c>
      <c r="I39" s="115">
        <v>120</v>
      </c>
      <c r="J39" s="115">
        <v>120</v>
      </c>
      <c r="K39" s="111"/>
      <c r="L39" s="110"/>
    </row>
    <row r="40" spans="1:12" ht="19.5" customHeight="1">
      <c r="A40" s="90" t="s">
        <v>57</v>
      </c>
      <c r="B40" s="91"/>
      <c r="C40" s="112"/>
      <c r="D40" s="112"/>
      <c r="E40" s="113"/>
      <c r="F40" s="113"/>
      <c r="G40" s="113"/>
      <c r="H40" s="116">
        <f>(H39*H38)-SUM(H28:H29)+H37</f>
        <v>119.14804878048778</v>
      </c>
      <c r="I40" s="116">
        <f>(I39*I38)-SUM(I28:I29)+I37</f>
        <v>242.2189655172414</v>
      </c>
      <c r="J40" s="116">
        <f>(J39*J38)-SUM(J28:J29)+J37</f>
        <v>203.00656358043176</v>
      </c>
      <c r="K40" s="113"/>
      <c r="L40" s="112"/>
    </row>
    <row r="41" spans="1:12" ht="13.8">
      <c r="A41" s="62" t="s">
        <v>40</v>
      </c>
      <c r="B41" s="63"/>
      <c r="C41" s="64">
        <f>14*6.13</f>
        <v>85.82</v>
      </c>
      <c r="D41" s="64">
        <f>C41</f>
        <v>85.82</v>
      </c>
      <c r="E41" s="114"/>
      <c r="F41" s="114"/>
      <c r="G41" s="114"/>
      <c r="H41" s="114"/>
      <c r="I41" s="114"/>
      <c r="J41" s="114"/>
      <c r="K41" s="114">
        <f>D41</f>
        <v>85.82</v>
      </c>
      <c r="L41" s="114"/>
    </row>
    <row r="42" spans="1:12" ht="31.5" customHeight="1">
      <c r="A42" s="66" t="s">
        <v>59</v>
      </c>
      <c r="B42" s="67"/>
      <c r="C42" s="117">
        <f>SUM(C37:C41)</f>
        <v>383.52</v>
      </c>
      <c r="D42" s="117">
        <f>SUM(D37:D41)</f>
        <v>412.65333333333336</v>
      </c>
      <c r="E42" s="118"/>
      <c r="F42" s="118"/>
      <c r="G42" s="118"/>
      <c r="H42" s="118"/>
      <c r="I42" s="118"/>
      <c r="J42" s="118"/>
      <c r="K42" s="117">
        <f>SUM(K37:K41)</f>
        <v>268.96999999999997</v>
      </c>
      <c r="L42" s="118"/>
    </row>
    <row r="43" spans="1:12" ht="5.25" customHeight="1">
      <c r="A43" s="70"/>
      <c r="B43" s="70"/>
      <c r="C43" s="71"/>
      <c r="D43" s="71"/>
      <c r="E43" s="71"/>
      <c r="F43" s="71"/>
      <c r="G43" s="71"/>
      <c r="H43" s="71"/>
      <c r="I43" s="71"/>
      <c r="J43" s="71"/>
      <c r="K43" s="71"/>
      <c r="L43" s="70"/>
    </row>
    <row r="44" spans="1:12" ht="1.5" customHeight="1">
      <c r="A44" s="70"/>
      <c r="B44" s="70"/>
      <c r="C44" s="71"/>
      <c r="D44" s="71"/>
      <c r="E44" s="71"/>
      <c r="F44" s="71"/>
      <c r="G44" s="71"/>
      <c r="H44" s="71"/>
      <c r="I44" s="71"/>
      <c r="J44" s="71"/>
      <c r="K44" s="71"/>
      <c r="L44" s="70"/>
    </row>
    <row r="45" spans="1:12" ht="13.8">
      <c r="A45" s="70"/>
      <c r="B45" s="70"/>
      <c r="C45" s="71"/>
      <c r="D45" s="71"/>
      <c r="E45" s="71"/>
      <c r="F45" s="71"/>
      <c r="G45" s="71"/>
      <c r="H45" s="71"/>
      <c r="I45" s="71"/>
      <c r="J45" s="71"/>
      <c r="K45" s="71"/>
      <c r="L45" s="70"/>
    </row>
    <row r="46" spans="1:12" ht="13.8">
      <c r="A46" s="70"/>
      <c r="B46" s="70"/>
      <c r="C46" s="71"/>
      <c r="D46" s="71"/>
      <c r="E46" s="71"/>
      <c r="F46" s="71"/>
      <c r="G46" s="71"/>
      <c r="H46" s="71"/>
      <c r="I46" s="71"/>
      <c r="J46" s="71"/>
      <c r="K46" s="71"/>
      <c r="L46" s="70"/>
    </row>
  </sheetData>
  <mergeCells count="13">
    <mergeCell ref="A1:L1"/>
    <mergeCell ref="G2:G4"/>
    <mergeCell ref="H2:H4"/>
    <mergeCell ref="L2:L4"/>
    <mergeCell ref="I2:I4"/>
    <mergeCell ref="E2:E4"/>
    <mergeCell ref="J2:J4"/>
    <mergeCell ref="K2:K4"/>
    <mergeCell ref="A2:A4"/>
    <mergeCell ref="B2:B4"/>
    <mergeCell ref="C2:C4"/>
    <mergeCell ref="D2:D4"/>
    <mergeCell ref="F2:F4"/>
  </mergeCells>
  <pageMargins left="0.25" right="0.25" top="0.75" bottom="0.75" header="0.3" footer="0.3"/>
  <pageSetup scale="79" fitToWidth="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44"/>
  <sheetViews>
    <sheetView tabSelected="1" zoomScale="90" zoomScaleNormal="90" workbookViewId="0">
      <selection activeCell="H47" sqref="H47"/>
    </sheetView>
  </sheetViews>
  <sheetFormatPr defaultRowHeight="13.2"/>
  <cols>
    <col min="1" max="1" width="25.6640625" customWidth="1"/>
    <col min="2" max="2" width="15.33203125" hidden="1" customWidth="1"/>
    <col min="3" max="3" width="10.5546875" style="1" customWidth="1"/>
    <col min="4" max="4" width="11" style="1" customWidth="1"/>
    <col min="5" max="5" width="10.5546875" style="1" customWidth="1"/>
    <col min="6" max="6" width="11.6640625" style="1" customWidth="1"/>
    <col min="7" max="7" width="11.33203125" style="1" customWidth="1"/>
    <col min="8" max="8" width="10" style="1" customWidth="1"/>
    <col min="9" max="9" width="10.33203125" style="1" customWidth="1"/>
    <col min="10" max="10" width="10.44140625" style="1" customWidth="1"/>
    <col min="11" max="11" width="9.44140625" style="1" customWidth="1"/>
    <col min="12" max="12" width="10.109375" customWidth="1"/>
    <col min="13" max="13" width="9.6640625" bestFit="1" customWidth="1"/>
  </cols>
  <sheetData>
    <row r="1" spans="1:14" ht="22.5" customHeight="1">
      <c r="A1" s="299" t="s">
        <v>100</v>
      </c>
      <c r="B1" s="300"/>
      <c r="C1" s="300"/>
      <c r="D1" s="300"/>
      <c r="E1" s="300"/>
      <c r="F1" s="300"/>
      <c r="G1" s="300"/>
      <c r="H1" s="300"/>
      <c r="I1" s="300"/>
      <c r="J1" s="300"/>
      <c r="K1" s="300"/>
    </row>
    <row r="2" spans="1:14" ht="12.75" customHeight="1">
      <c r="A2" s="301"/>
      <c r="B2" s="302" t="s">
        <v>0</v>
      </c>
      <c r="C2" s="292" t="s">
        <v>71</v>
      </c>
      <c r="D2" s="292" t="s">
        <v>1</v>
      </c>
      <c r="E2" s="292" t="s">
        <v>85</v>
      </c>
      <c r="F2" s="292" t="s">
        <v>96</v>
      </c>
      <c r="G2" s="292" t="s">
        <v>69</v>
      </c>
      <c r="H2" s="292" t="s">
        <v>3</v>
      </c>
      <c r="I2" s="292" t="s">
        <v>78</v>
      </c>
      <c r="J2" s="292" t="s">
        <v>84</v>
      </c>
      <c r="K2" s="292" t="s">
        <v>45</v>
      </c>
    </row>
    <row r="3" spans="1:14" ht="12.75" customHeight="1">
      <c r="A3" s="301"/>
      <c r="B3" s="301"/>
      <c r="C3" s="292"/>
      <c r="D3" s="303"/>
      <c r="E3" s="303"/>
      <c r="F3" s="303"/>
      <c r="G3" s="303"/>
      <c r="H3" s="292"/>
      <c r="I3" s="292"/>
      <c r="J3" s="292"/>
      <c r="K3" s="292"/>
    </row>
    <row r="4" spans="1:14" ht="27.75" customHeight="1">
      <c r="A4" s="301"/>
      <c r="B4" s="301"/>
      <c r="C4" s="292"/>
      <c r="D4" s="303"/>
      <c r="E4" s="303"/>
      <c r="F4" s="303"/>
      <c r="G4" s="303"/>
      <c r="H4" s="292"/>
      <c r="I4" s="292"/>
      <c r="J4" s="292"/>
      <c r="K4" s="292"/>
    </row>
    <row r="5" spans="1:14" ht="13.8">
      <c r="A5" s="124" t="s">
        <v>79</v>
      </c>
      <c r="B5" s="125" t="s">
        <v>6</v>
      </c>
      <c r="C5" s="166">
        <v>80</v>
      </c>
      <c r="D5" s="166">
        <v>80</v>
      </c>
      <c r="E5" s="132">
        <v>130</v>
      </c>
      <c r="F5" s="132">
        <v>110</v>
      </c>
      <c r="G5" s="132">
        <v>123.2</v>
      </c>
      <c r="H5" s="132">
        <v>46</v>
      </c>
      <c r="I5" s="132">
        <v>48</v>
      </c>
      <c r="J5" s="132">
        <v>83.85</v>
      </c>
      <c r="K5" s="132">
        <v>26.6</v>
      </c>
    </row>
    <row r="6" spans="1:14" ht="17.25" customHeight="1">
      <c r="A6" s="124" t="s">
        <v>70</v>
      </c>
      <c r="B6" s="126"/>
      <c r="C6" s="144"/>
      <c r="D6" s="144"/>
      <c r="E6" s="133"/>
      <c r="F6" s="133">
        <v>6.05</v>
      </c>
      <c r="G6" s="133">
        <v>6.05</v>
      </c>
      <c r="H6" s="133"/>
      <c r="I6" s="133"/>
      <c r="J6" s="133"/>
      <c r="K6" s="133"/>
    </row>
    <row r="7" spans="1:14" ht="17.25" customHeight="1">
      <c r="A7" s="124" t="s">
        <v>53</v>
      </c>
      <c r="B7" s="126" t="s">
        <v>9</v>
      </c>
      <c r="C7" s="144">
        <v>130.97</v>
      </c>
      <c r="D7" s="144">
        <v>130.97</v>
      </c>
      <c r="E7" s="133">
        <v>154.44999999999999</v>
      </c>
      <c r="F7" s="133">
        <v>101.49</v>
      </c>
      <c r="G7" s="133">
        <v>101.49</v>
      </c>
      <c r="H7" s="133">
        <v>86.11</v>
      </c>
      <c r="I7" s="133">
        <v>80.12</v>
      </c>
      <c r="J7" s="133">
        <v>130.61000000000001</v>
      </c>
      <c r="K7" s="133">
        <v>82.7</v>
      </c>
    </row>
    <row r="8" spans="1:14" ht="18" customHeight="1">
      <c r="A8" s="124" t="s">
        <v>10</v>
      </c>
      <c r="B8" s="126"/>
      <c r="C8" s="144">
        <v>26.3</v>
      </c>
      <c r="D8" s="144">
        <v>26.3</v>
      </c>
      <c r="E8" s="133">
        <v>16</v>
      </c>
      <c r="F8" s="133">
        <v>16</v>
      </c>
      <c r="G8" s="133">
        <v>16</v>
      </c>
      <c r="H8" s="133">
        <v>10.050000000000001</v>
      </c>
      <c r="I8" s="133">
        <v>21</v>
      </c>
      <c r="J8" s="133">
        <v>30.9</v>
      </c>
      <c r="K8" s="133"/>
    </row>
    <row r="9" spans="1:14" ht="13.8">
      <c r="A9" s="124" t="s">
        <v>11</v>
      </c>
      <c r="B9" s="126"/>
      <c r="C9" s="144"/>
      <c r="D9" s="144">
        <f>C9</f>
        <v>0</v>
      </c>
      <c r="E9" s="133"/>
      <c r="F9" s="133"/>
      <c r="G9" s="133"/>
      <c r="H9" s="133"/>
      <c r="I9" s="133"/>
      <c r="J9" s="133"/>
      <c r="K9" s="133"/>
    </row>
    <row r="10" spans="1:14" ht="15.75" customHeight="1">
      <c r="A10" s="124" t="s">
        <v>46</v>
      </c>
      <c r="B10" s="126" t="s">
        <v>12</v>
      </c>
      <c r="C10" s="144">
        <v>26.5</v>
      </c>
      <c r="D10" s="144">
        <v>7</v>
      </c>
      <c r="E10" s="133">
        <v>30</v>
      </c>
      <c r="F10" s="133">
        <v>66</v>
      </c>
      <c r="G10" s="133">
        <v>20</v>
      </c>
      <c r="H10" s="133">
        <v>10</v>
      </c>
      <c r="I10" s="133">
        <v>10</v>
      </c>
      <c r="J10" s="133">
        <v>10</v>
      </c>
      <c r="K10" s="133">
        <f>8+8.3+8.45</f>
        <v>24.75</v>
      </c>
    </row>
    <row r="11" spans="1:14" s="79" customFormat="1" ht="16.5" customHeight="1">
      <c r="A11" s="128" t="s">
        <v>80</v>
      </c>
      <c r="B11" s="134"/>
      <c r="C11" s="134">
        <f t="shared" ref="C11:K11" si="0">SUM(C5:C10)</f>
        <v>263.77</v>
      </c>
      <c r="D11" s="134">
        <f t="shared" si="0"/>
        <v>244.27</v>
      </c>
      <c r="E11" s="134">
        <f t="shared" si="0"/>
        <v>330.45</v>
      </c>
      <c r="F11" s="134">
        <f t="shared" si="0"/>
        <v>299.53999999999996</v>
      </c>
      <c r="G11" s="134">
        <f t="shared" si="0"/>
        <v>266.74</v>
      </c>
      <c r="H11" s="134">
        <f t="shared" si="0"/>
        <v>152.16000000000003</v>
      </c>
      <c r="I11" s="134">
        <f t="shared" si="0"/>
        <v>159.12</v>
      </c>
      <c r="J11" s="134">
        <f t="shared" si="0"/>
        <v>255.36</v>
      </c>
      <c r="K11" s="135">
        <f t="shared" si="0"/>
        <v>134.05000000000001</v>
      </c>
      <c r="M11" s="79" t="s">
        <v>92</v>
      </c>
      <c r="N11" s="79" t="s">
        <v>93</v>
      </c>
    </row>
    <row r="12" spans="1:14" ht="13.8">
      <c r="A12" s="121" t="s">
        <v>14</v>
      </c>
      <c r="B12" s="129" t="s">
        <v>15</v>
      </c>
      <c r="C12" s="144">
        <v>30</v>
      </c>
      <c r="D12" s="144">
        <f>C12</f>
        <v>30</v>
      </c>
      <c r="E12" s="136">
        <v>50</v>
      </c>
      <c r="F12" s="136"/>
      <c r="G12" s="136"/>
      <c r="H12" s="136">
        <v>30</v>
      </c>
      <c r="I12" s="136">
        <v>30</v>
      </c>
      <c r="J12" s="136"/>
      <c r="K12" s="136">
        <f>F12</f>
        <v>0</v>
      </c>
      <c r="L12" t="s">
        <v>89</v>
      </c>
      <c r="M12" s="196">
        <v>650</v>
      </c>
      <c r="N12" s="194">
        <f>M12/1014.3</f>
        <v>0.64083604456275267</v>
      </c>
    </row>
    <row r="13" spans="1:14" ht="13.8">
      <c r="A13" s="121" t="s">
        <v>16</v>
      </c>
      <c r="B13" s="129"/>
      <c r="C13" s="144">
        <v>25</v>
      </c>
      <c r="D13" s="144">
        <v>25</v>
      </c>
      <c r="E13" s="136">
        <v>25</v>
      </c>
      <c r="F13" s="136">
        <v>25</v>
      </c>
      <c r="G13" s="136">
        <v>25</v>
      </c>
      <c r="H13" s="136">
        <v>25</v>
      </c>
      <c r="I13" s="136">
        <v>25</v>
      </c>
      <c r="J13" s="136">
        <v>25</v>
      </c>
      <c r="K13" s="136">
        <v>25</v>
      </c>
      <c r="L13" t="s">
        <v>90</v>
      </c>
      <c r="M13" s="196">
        <v>800</v>
      </c>
      <c r="N13" s="194">
        <f>(M13-(242.55*N12))/1146.6</f>
        <v>0.56215351246407153</v>
      </c>
    </row>
    <row r="14" spans="1:14" ht="13.8">
      <c r="A14" s="121" t="s">
        <v>17</v>
      </c>
      <c r="B14" s="129"/>
      <c r="C14" s="144">
        <v>20</v>
      </c>
      <c r="D14" s="144">
        <v>20</v>
      </c>
      <c r="E14" s="136">
        <v>20</v>
      </c>
      <c r="F14" s="136">
        <v>30</v>
      </c>
      <c r="G14" s="136">
        <v>20</v>
      </c>
      <c r="H14" s="136">
        <v>10</v>
      </c>
      <c r="I14" s="136">
        <v>20</v>
      </c>
      <c r="J14" s="136">
        <f>I14</f>
        <v>20</v>
      </c>
      <c r="K14" s="136">
        <v>20</v>
      </c>
      <c r="L14" t="s">
        <v>91</v>
      </c>
      <c r="M14" s="196">
        <v>650</v>
      </c>
      <c r="N14" s="194">
        <f>M14/1323</f>
        <v>0.49130763416477702</v>
      </c>
    </row>
    <row r="15" spans="1:14" ht="13.8">
      <c r="A15" s="121" t="s">
        <v>18</v>
      </c>
      <c r="B15" s="129"/>
      <c r="C15" s="144">
        <v>10</v>
      </c>
      <c r="D15" s="144">
        <f>C15</f>
        <v>10</v>
      </c>
      <c r="E15" s="136">
        <v>10</v>
      </c>
      <c r="F15" s="136">
        <v>10</v>
      </c>
      <c r="G15" s="136">
        <f>F15</f>
        <v>10</v>
      </c>
      <c r="H15" s="136">
        <v>10</v>
      </c>
      <c r="I15" s="136">
        <v>10</v>
      </c>
      <c r="J15" s="136">
        <f>I15</f>
        <v>10</v>
      </c>
      <c r="K15" s="136">
        <v>10</v>
      </c>
      <c r="L15" t="s">
        <v>94</v>
      </c>
      <c r="M15" s="196">
        <v>575</v>
      </c>
      <c r="N15" s="195">
        <f>(M15-(463.05*N12))/529.2</f>
        <v>0.52581419041046362</v>
      </c>
    </row>
    <row r="16" spans="1:14" ht="12.75" hidden="1" customHeight="1" thickBot="1">
      <c r="A16" s="121" t="s">
        <v>19</v>
      </c>
      <c r="B16" s="129"/>
      <c r="C16" s="144"/>
      <c r="D16" s="144"/>
      <c r="E16" s="136"/>
      <c r="F16" s="136"/>
      <c r="G16" s="136"/>
      <c r="H16" s="136"/>
      <c r="I16" s="136"/>
      <c r="J16" s="136"/>
      <c r="K16" s="136"/>
    </row>
    <row r="17" spans="1:11" ht="23.25" customHeight="1">
      <c r="A17" s="121" t="s">
        <v>20</v>
      </c>
      <c r="B17" s="129" t="s">
        <v>21</v>
      </c>
      <c r="C17" s="144">
        <v>46</v>
      </c>
      <c r="D17" s="144">
        <f>C17</f>
        <v>46</v>
      </c>
      <c r="E17" s="136">
        <v>75</v>
      </c>
      <c r="F17" s="136">
        <v>51</v>
      </c>
      <c r="G17" s="136">
        <f>F17</f>
        <v>51</v>
      </c>
      <c r="H17" s="136">
        <f>I17</f>
        <v>50</v>
      </c>
      <c r="I17" s="136">
        <v>50</v>
      </c>
      <c r="J17" s="136">
        <v>50</v>
      </c>
      <c r="K17" s="136">
        <v>46</v>
      </c>
    </row>
    <row r="18" spans="1:11" ht="13.8">
      <c r="A18" s="130" t="s">
        <v>81</v>
      </c>
      <c r="B18" s="131"/>
      <c r="C18" s="167">
        <f t="shared" ref="C18:J18" si="1">SUM(C12:C17)</f>
        <v>131</v>
      </c>
      <c r="D18" s="167">
        <f t="shared" si="1"/>
        <v>131</v>
      </c>
      <c r="E18" s="137">
        <f>SUM(E12:E17)</f>
        <v>180</v>
      </c>
      <c r="F18" s="137">
        <f t="shared" si="1"/>
        <v>116</v>
      </c>
      <c r="G18" s="137">
        <f t="shared" si="1"/>
        <v>106</v>
      </c>
      <c r="H18" s="137">
        <f t="shared" si="1"/>
        <v>125</v>
      </c>
      <c r="I18" s="137">
        <f t="shared" si="1"/>
        <v>135</v>
      </c>
      <c r="J18" s="137">
        <f t="shared" si="1"/>
        <v>105</v>
      </c>
      <c r="K18" s="138">
        <f>SUM(K12:K17)</f>
        <v>101</v>
      </c>
    </row>
    <row r="19" spans="1:11" ht="13.8">
      <c r="A19" s="124" t="s">
        <v>23</v>
      </c>
      <c r="B19" s="127"/>
      <c r="C19" s="144"/>
      <c r="D19" s="144"/>
      <c r="E19" s="133">
        <v>79.2</v>
      </c>
      <c r="F19" s="133">
        <v>0</v>
      </c>
      <c r="G19" s="133">
        <v>0</v>
      </c>
      <c r="H19" s="133"/>
      <c r="I19" s="133"/>
      <c r="J19" s="133"/>
      <c r="K19" s="133"/>
    </row>
    <row r="20" spans="1:11" ht="12" customHeight="1">
      <c r="A20" s="124" t="s">
        <v>68</v>
      </c>
      <c r="B20" s="127"/>
      <c r="C20" s="144">
        <v>17.95</v>
      </c>
      <c r="D20" s="144">
        <f>C20</f>
        <v>17.95</v>
      </c>
      <c r="E20" s="133">
        <v>12.4</v>
      </c>
      <c r="F20" s="133">
        <v>9.6</v>
      </c>
      <c r="G20" s="133">
        <v>9.6</v>
      </c>
      <c r="H20" s="133">
        <v>6.5</v>
      </c>
      <c r="I20" s="133">
        <f>H20</f>
        <v>6.5</v>
      </c>
      <c r="J20" s="133">
        <v>9.15</v>
      </c>
      <c r="K20" s="133">
        <v>7.7</v>
      </c>
    </row>
    <row r="21" spans="1:11" ht="13.8">
      <c r="A21" s="124" t="s">
        <v>67</v>
      </c>
      <c r="B21" s="127"/>
      <c r="C21" s="144">
        <f>MROUND((C11+0.5*C18)*((0.037/12)*4),0.05)</f>
        <v>4.05</v>
      </c>
      <c r="D21" s="144">
        <f>MROUND((D11+0.5*D18)*((0.037/12)*4),0.05)</f>
        <v>3.8000000000000003</v>
      </c>
      <c r="E21" s="144">
        <f>MROUND((E11+0.5*E18)*((0.037/12)*6),0.05)</f>
        <v>7.8000000000000007</v>
      </c>
      <c r="F21" s="144">
        <f>MROUND((F11+0.5*F18)*((0.037/12)*6),0.05)</f>
        <v>6.6000000000000005</v>
      </c>
      <c r="G21" s="144">
        <f>MROUND((G11+0.5*G18)*((0.037/12)*6),0.05)</f>
        <v>5.9</v>
      </c>
      <c r="H21" s="144">
        <f>MROUND((H11+0.5*H18)*((0.037/12)*4),0.05)</f>
        <v>2.6500000000000004</v>
      </c>
      <c r="I21" s="144">
        <f>MROUND((I11+0.5*I18)*((0.037/12)*4),0.05)</f>
        <v>2.8000000000000003</v>
      </c>
      <c r="J21" s="144">
        <f>MROUND((J11+0.5*J18)*((0.037/12)*4),0.05)</f>
        <v>3.8000000000000003</v>
      </c>
      <c r="K21" s="144">
        <f>MROUND((K11+0.5*K18)*((0.037/12)*4),0.05)</f>
        <v>2.3000000000000003</v>
      </c>
    </row>
    <row r="22" spans="1:11" ht="13.8">
      <c r="A22" s="124" t="s">
        <v>42</v>
      </c>
      <c r="B22" s="127"/>
      <c r="C22" s="144">
        <v>3.1</v>
      </c>
      <c r="D22" s="144">
        <f>C22</f>
        <v>3.1</v>
      </c>
      <c r="E22" s="133">
        <f>1.8+33.1</f>
        <v>34.9</v>
      </c>
      <c r="F22" s="133">
        <f>1.65+9.75</f>
        <v>11.4</v>
      </c>
      <c r="G22" s="133">
        <f>F22</f>
        <v>11.4</v>
      </c>
      <c r="H22" s="133">
        <v>1.95</v>
      </c>
      <c r="I22" s="133">
        <v>2</v>
      </c>
      <c r="J22" s="133">
        <v>1.1499999999999999</v>
      </c>
      <c r="K22" s="133"/>
    </row>
    <row r="23" spans="1:11" s="193" customFormat="1" ht="13.5" customHeight="1">
      <c r="A23" s="191" t="s">
        <v>86</v>
      </c>
      <c r="B23" s="192"/>
      <c r="C23" s="168">
        <f>SUM(C19:C22)</f>
        <v>25.1</v>
      </c>
      <c r="D23" s="168">
        <f>SUM(D19:D22)</f>
        <v>24.85</v>
      </c>
      <c r="E23" s="152">
        <f>SUM(E19:E22)</f>
        <v>134.30000000000001</v>
      </c>
      <c r="F23" s="152">
        <f>SUM(F19:F22)</f>
        <v>27.6</v>
      </c>
      <c r="G23" s="152">
        <f>F23</f>
        <v>27.6</v>
      </c>
      <c r="H23" s="152">
        <f>SUM(H19:H22)</f>
        <v>11.1</v>
      </c>
      <c r="I23" s="152">
        <f>SUM(I19:I22)</f>
        <v>11.3</v>
      </c>
      <c r="J23" s="152">
        <f>SUM(J19:J22)</f>
        <v>14.100000000000001</v>
      </c>
      <c r="K23" s="152">
        <f>SUM(K19:K22)</f>
        <v>10</v>
      </c>
    </row>
    <row r="24" spans="1:11" ht="15.75" customHeight="1">
      <c r="A24" s="120" t="s">
        <v>61</v>
      </c>
      <c r="B24" s="80"/>
      <c r="C24" s="139"/>
      <c r="D24" s="139"/>
      <c r="E24" s="139"/>
      <c r="F24" s="139"/>
      <c r="G24" s="139"/>
      <c r="H24" s="140">
        <v>26</v>
      </c>
      <c r="I24" s="140">
        <v>26</v>
      </c>
      <c r="J24" s="140">
        <v>26</v>
      </c>
      <c r="K24" s="140">
        <v>26</v>
      </c>
    </row>
    <row r="25" spans="1:11" s="193" customFormat="1" ht="13.5" customHeight="1">
      <c r="A25" s="148" t="s">
        <v>87</v>
      </c>
      <c r="B25" s="80"/>
      <c r="C25" s="184">
        <f t="shared" ref="C25:K25" si="2">SUM(C24:C24)</f>
        <v>0</v>
      </c>
      <c r="D25" s="184">
        <f t="shared" si="2"/>
        <v>0</v>
      </c>
      <c r="E25" s="184">
        <f t="shared" si="2"/>
        <v>0</v>
      </c>
      <c r="F25" s="184">
        <f t="shared" si="2"/>
        <v>0</v>
      </c>
      <c r="G25" s="184">
        <f t="shared" si="2"/>
        <v>0</v>
      </c>
      <c r="H25" s="184">
        <f t="shared" si="2"/>
        <v>26</v>
      </c>
      <c r="I25" s="184">
        <f t="shared" si="2"/>
        <v>26</v>
      </c>
      <c r="J25" s="184">
        <f t="shared" si="2"/>
        <v>26</v>
      </c>
      <c r="K25" s="184">
        <f t="shared" si="2"/>
        <v>26</v>
      </c>
    </row>
    <row r="26" spans="1:11" s="70" customFormat="1" ht="15" customHeight="1">
      <c r="A26" s="153" t="s">
        <v>83</v>
      </c>
      <c r="B26" s="146"/>
      <c r="C26" s="147">
        <f t="shared" ref="C26:K26" si="3">C11+C18+C23+C25</f>
        <v>419.87</v>
      </c>
      <c r="D26" s="147">
        <f t="shared" si="3"/>
        <v>400.12</v>
      </c>
      <c r="E26" s="147">
        <f t="shared" si="3"/>
        <v>644.75</v>
      </c>
      <c r="F26" s="147">
        <f t="shared" si="3"/>
        <v>443.14</v>
      </c>
      <c r="G26" s="147">
        <f t="shared" si="3"/>
        <v>400.34000000000003</v>
      </c>
      <c r="H26" s="147">
        <f t="shared" si="3"/>
        <v>314.26000000000005</v>
      </c>
      <c r="I26" s="147">
        <f t="shared" si="3"/>
        <v>331.42</v>
      </c>
      <c r="J26" s="147">
        <f t="shared" si="3"/>
        <v>400.46000000000004</v>
      </c>
      <c r="K26" s="147">
        <f t="shared" si="3"/>
        <v>271.05</v>
      </c>
    </row>
    <row r="27" spans="1:11" ht="15" hidden="1" customHeight="1">
      <c r="A27" s="121" t="s">
        <v>29</v>
      </c>
      <c r="B27" s="40"/>
      <c r="C27" s="169" t="e">
        <f>(#REF!/#REF!)</f>
        <v>#REF!</v>
      </c>
      <c r="D27" s="169" t="e">
        <f>(D26/#REF!)</f>
        <v>#REF!</v>
      </c>
      <c r="E27" s="141" t="e">
        <f>E26/#REF!</f>
        <v>#REF!</v>
      </c>
      <c r="F27" s="141" t="e">
        <f>F26/#REF!</f>
        <v>#REF!</v>
      </c>
      <c r="G27" s="141" t="e">
        <f>G26/#REF!</f>
        <v>#REF!</v>
      </c>
      <c r="H27" s="141" t="e">
        <f>H26/#REF!</f>
        <v>#REF!</v>
      </c>
      <c r="I27" s="141" t="e">
        <f>I26/#REF!</f>
        <v>#REF!</v>
      </c>
      <c r="J27" s="141" t="e">
        <f>J26/#REF!</f>
        <v>#REF!</v>
      </c>
      <c r="K27" s="141" t="e">
        <f>K26/#REF!</f>
        <v>#REF!</v>
      </c>
    </row>
    <row r="28" spans="1:11" ht="14.25" hidden="1" customHeight="1">
      <c r="A28" s="121" t="s">
        <v>64</v>
      </c>
      <c r="B28" s="42"/>
      <c r="C28" s="139" t="s">
        <v>63</v>
      </c>
      <c r="D28" s="139" t="s">
        <v>63</v>
      </c>
      <c r="E28" s="142" t="s">
        <v>31</v>
      </c>
      <c r="F28" s="142" t="s">
        <v>31</v>
      </c>
      <c r="G28" s="142" t="s">
        <v>31</v>
      </c>
      <c r="H28" s="142" t="s">
        <v>31</v>
      </c>
      <c r="I28" s="142" t="s">
        <v>31</v>
      </c>
      <c r="J28" s="142" t="s">
        <v>31</v>
      </c>
      <c r="K28" s="142" t="s">
        <v>63</v>
      </c>
    </row>
    <row r="29" spans="1:11" ht="15" customHeight="1">
      <c r="A29" s="175" t="s">
        <v>51</v>
      </c>
      <c r="B29" s="149"/>
      <c r="C29" s="173">
        <v>1</v>
      </c>
      <c r="D29" s="173">
        <v>1</v>
      </c>
      <c r="E29" s="174">
        <v>160</v>
      </c>
      <c r="F29" s="174">
        <v>40</v>
      </c>
      <c r="G29" s="174">
        <v>45</v>
      </c>
      <c r="H29" s="174">
        <v>80</v>
      </c>
      <c r="I29" s="174">
        <v>85</v>
      </c>
      <c r="J29" s="174">
        <v>65</v>
      </c>
      <c r="K29" s="174">
        <v>0.6</v>
      </c>
    </row>
    <row r="30" spans="1:11" s="179" customFormat="1" ht="14.25" customHeight="1">
      <c r="A30" s="130"/>
      <c r="B30" s="176"/>
      <c r="C30" s="177" t="s">
        <v>63</v>
      </c>
      <c r="D30" s="177" t="s">
        <v>63</v>
      </c>
      <c r="E30" s="178" t="s">
        <v>31</v>
      </c>
      <c r="F30" s="178" t="s">
        <v>31</v>
      </c>
      <c r="G30" s="178" t="s">
        <v>31</v>
      </c>
      <c r="H30" s="178" t="s">
        <v>31</v>
      </c>
      <c r="I30" s="178" t="s">
        <v>31</v>
      </c>
      <c r="J30" s="178" t="s">
        <v>31</v>
      </c>
      <c r="K30" s="178" t="s">
        <v>63</v>
      </c>
    </row>
    <row r="31" spans="1:11" ht="13.8">
      <c r="A31" s="124" t="s">
        <v>88</v>
      </c>
      <c r="B31" s="150"/>
      <c r="C31" s="170">
        <v>617.70000000000005</v>
      </c>
      <c r="D31" s="170">
        <v>617.20000000000005</v>
      </c>
      <c r="E31" s="143">
        <v>5.81</v>
      </c>
      <c r="F31" s="143">
        <v>18.47</v>
      </c>
      <c r="G31" s="143">
        <v>15.47</v>
      </c>
      <c r="H31" s="143">
        <v>235</v>
      </c>
      <c r="I31" s="143">
        <v>270</v>
      </c>
      <c r="J31" s="143">
        <v>235</v>
      </c>
      <c r="K31" s="143">
        <v>580</v>
      </c>
    </row>
    <row r="32" spans="1:11" ht="13.5" customHeight="1">
      <c r="A32" s="130" t="s">
        <v>73</v>
      </c>
      <c r="B32" s="180"/>
      <c r="C32" s="181">
        <f>C29*C31</f>
        <v>617.70000000000005</v>
      </c>
      <c r="D32" s="181">
        <f>D29*D31</f>
        <v>617.20000000000005</v>
      </c>
      <c r="E32" s="182">
        <f>E29*E31</f>
        <v>929.59999999999991</v>
      </c>
      <c r="F32" s="182">
        <f>F29*F31</f>
        <v>738.8</v>
      </c>
      <c r="G32" s="182">
        <f>G29*G31</f>
        <v>696.15</v>
      </c>
      <c r="H32" s="183">
        <f>(H29/45.92)*H31</f>
        <v>409.40766550522648</v>
      </c>
      <c r="I32" s="183">
        <f>(I31/58)*I29</f>
        <v>395.68965517241378</v>
      </c>
      <c r="J32" s="183">
        <f>(J31/36.733)*J29</f>
        <v>415.83861922521987</v>
      </c>
      <c r="K32" s="183">
        <f>K29*K31</f>
        <v>348</v>
      </c>
    </row>
    <row r="33" spans="1:11" ht="19.5" hidden="1" customHeight="1">
      <c r="A33" s="145" t="s">
        <v>36</v>
      </c>
      <c r="B33" s="151"/>
      <c r="C33" s="171">
        <f>C32-C26</f>
        <v>197.83000000000004</v>
      </c>
      <c r="D33" s="171">
        <f t="shared" ref="D33:J33" si="4">D32-D26</f>
        <v>217.08000000000004</v>
      </c>
      <c r="E33" s="171">
        <f t="shared" si="4"/>
        <v>284.84999999999991</v>
      </c>
      <c r="F33" s="171">
        <f t="shared" si="4"/>
        <v>295.65999999999997</v>
      </c>
      <c r="G33" s="171">
        <f t="shared" si="4"/>
        <v>295.80999999999995</v>
      </c>
      <c r="H33" s="171">
        <f t="shared" si="4"/>
        <v>95.147665505226428</v>
      </c>
      <c r="I33" s="171">
        <f t="shared" si="4"/>
        <v>64.269655172413763</v>
      </c>
      <c r="J33" s="171">
        <f t="shared" si="4"/>
        <v>15.378619225219836</v>
      </c>
      <c r="K33" s="171">
        <f>K32-K26</f>
        <v>76.949999999999989</v>
      </c>
    </row>
    <row r="34" spans="1:11" ht="15" customHeight="1">
      <c r="A34" s="120" t="s">
        <v>58</v>
      </c>
      <c r="B34" s="154"/>
      <c r="C34" s="155"/>
      <c r="D34" s="155"/>
      <c r="E34" s="156"/>
      <c r="F34" s="156"/>
      <c r="G34" s="156"/>
      <c r="H34" s="156">
        <v>3.6</v>
      </c>
      <c r="I34" s="156">
        <v>3.2</v>
      </c>
      <c r="J34" s="156">
        <v>4.2</v>
      </c>
      <c r="K34" s="155"/>
    </row>
    <row r="35" spans="1:11" ht="13.5" customHeight="1">
      <c r="A35" s="120" t="s">
        <v>60</v>
      </c>
      <c r="B35" s="154"/>
      <c r="C35" s="157"/>
      <c r="D35" s="157"/>
      <c r="E35" s="158"/>
      <c r="F35" s="158"/>
      <c r="G35" s="158"/>
      <c r="H35" s="159">
        <v>30</v>
      </c>
      <c r="I35" s="159">
        <v>30</v>
      </c>
      <c r="J35" s="159">
        <v>30</v>
      </c>
      <c r="K35" s="157"/>
    </row>
    <row r="36" spans="1:11" ht="13.5" customHeight="1">
      <c r="A36" s="148" t="s">
        <v>74</v>
      </c>
      <c r="B36" s="184"/>
      <c r="C36" s="185">
        <f t="shared" ref="C36:G36" si="5">C34*C35</f>
        <v>0</v>
      </c>
      <c r="D36" s="185">
        <f t="shared" si="5"/>
        <v>0</v>
      </c>
      <c r="E36" s="185">
        <f t="shared" si="5"/>
        <v>0</v>
      </c>
      <c r="F36" s="185">
        <f t="shared" si="5"/>
        <v>0</v>
      </c>
      <c r="G36" s="185">
        <f t="shared" si="5"/>
        <v>0</v>
      </c>
      <c r="H36" s="185">
        <f>H34*H35</f>
        <v>108</v>
      </c>
      <c r="I36" s="185">
        <f t="shared" ref="I36:J36" si="6">I34*I35</f>
        <v>96</v>
      </c>
      <c r="J36" s="185">
        <f t="shared" si="6"/>
        <v>126</v>
      </c>
      <c r="K36" s="185">
        <f>K34*K35</f>
        <v>0</v>
      </c>
    </row>
    <row r="37" spans="1:11" ht="18" hidden="1" customHeight="1">
      <c r="A37" s="145" t="s">
        <v>72</v>
      </c>
      <c r="B37" s="160"/>
      <c r="C37" s="172"/>
      <c r="D37" s="172"/>
      <c r="E37" s="162"/>
      <c r="F37" s="162"/>
      <c r="G37" s="162"/>
      <c r="H37" s="163">
        <f>(H35*H34)-SUM(H24:H24)+H33</f>
        <v>177.14766550522643</v>
      </c>
      <c r="I37" s="163">
        <f>(I35*I34)-SUM(I24:I24)+I33</f>
        <v>134.26965517241376</v>
      </c>
      <c r="J37" s="163">
        <f>(J35*J34)-SUM(J24:J24)+J33</f>
        <v>115.37861922521984</v>
      </c>
      <c r="K37" s="161"/>
    </row>
    <row r="38" spans="1:11" ht="15.75" customHeight="1">
      <c r="A38" s="122" t="s">
        <v>77</v>
      </c>
      <c r="B38" s="164"/>
      <c r="C38" s="186">
        <v>89.74</v>
      </c>
      <c r="D38" s="186">
        <v>89.74</v>
      </c>
      <c r="E38" s="123"/>
      <c r="F38" s="123"/>
      <c r="G38" s="123"/>
      <c r="H38" s="123"/>
      <c r="I38" s="123"/>
      <c r="J38" s="123"/>
      <c r="K38" s="186">
        <v>89.74</v>
      </c>
    </row>
    <row r="39" spans="1:11" ht="15.75" customHeight="1">
      <c r="A39" s="187" t="s">
        <v>75</v>
      </c>
      <c r="B39" s="63"/>
      <c r="C39" s="165">
        <f>C32+C36+C38</f>
        <v>707.44</v>
      </c>
      <c r="D39" s="165">
        <f t="shared" ref="D39:J39" si="7">D32+D36+D38</f>
        <v>706.94</v>
      </c>
      <c r="E39" s="165">
        <f t="shared" si="7"/>
        <v>929.59999999999991</v>
      </c>
      <c r="F39" s="165">
        <f t="shared" si="7"/>
        <v>738.8</v>
      </c>
      <c r="G39" s="165">
        <f t="shared" si="7"/>
        <v>696.15</v>
      </c>
      <c r="H39" s="165">
        <f t="shared" si="7"/>
        <v>517.40766550522653</v>
      </c>
      <c r="I39" s="165">
        <f t="shared" si="7"/>
        <v>491.68965517241378</v>
      </c>
      <c r="J39" s="165">
        <f t="shared" si="7"/>
        <v>541.83861922521987</v>
      </c>
      <c r="K39" s="165">
        <f>K32+K36+K38</f>
        <v>437.74</v>
      </c>
    </row>
    <row r="40" spans="1:11" ht="18.75" customHeight="1">
      <c r="A40" s="188" t="s">
        <v>76</v>
      </c>
      <c r="B40" s="189"/>
      <c r="C40" s="64">
        <f t="shared" ref="C40:K40" si="8">C39-C26</f>
        <v>287.57000000000005</v>
      </c>
      <c r="D40" s="64">
        <f t="shared" si="8"/>
        <v>306.82000000000005</v>
      </c>
      <c r="E40" s="64">
        <f t="shared" si="8"/>
        <v>284.84999999999991</v>
      </c>
      <c r="F40" s="64">
        <f t="shared" si="8"/>
        <v>295.65999999999997</v>
      </c>
      <c r="G40" s="64">
        <f t="shared" si="8"/>
        <v>295.80999999999995</v>
      </c>
      <c r="H40" s="64">
        <f t="shared" si="8"/>
        <v>203.14766550522648</v>
      </c>
      <c r="I40" s="64">
        <f t="shared" si="8"/>
        <v>160.26965517241376</v>
      </c>
      <c r="J40" s="64">
        <f t="shared" si="8"/>
        <v>141.37861922521984</v>
      </c>
      <c r="K40" s="64">
        <f t="shared" si="8"/>
        <v>166.69</v>
      </c>
    </row>
    <row r="41" spans="1:11" ht="15.75" customHeight="1">
      <c r="A41" s="293" t="s">
        <v>98</v>
      </c>
      <c r="B41" s="294"/>
      <c r="C41" s="294"/>
      <c r="D41" s="294"/>
      <c r="E41" s="294"/>
      <c r="F41" s="294"/>
      <c r="G41" s="294"/>
      <c r="H41" s="294"/>
      <c r="I41" s="294"/>
      <c r="J41" s="294"/>
      <c r="K41" s="295"/>
    </row>
    <row r="42" spans="1:11" ht="15.75" customHeight="1">
      <c r="A42" s="296" t="s">
        <v>97</v>
      </c>
      <c r="B42" s="297"/>
      <c r="C42" s="297"/>
      <c r="D42" s="297"/>
      <c r="E42" s="297"/>
      <c r="F42" s="297"/>
      <c r="G42" s="297"/>
      <c r="H42" s="297"/>
      <c r="I42" s="297"/>
      <c r="J42" s="297"/>
      <c r="K42" s="298"/>
    </row>
    <row r="43" spans="1:11" ht="16.5" customHeight="1"/>
    <row r="44" spans="1:11" ht="16.5" customHeight="1">
      <c r="A44" s="190"/>
      <c r="B44" s="190"/>
      <c r="C44" s="190"/>
      <c r="D44" s="190"/>
      <c r="E44" s="190"/>
      <c r="F44" s="190"/>
      <c r="G44" s="190"/>
      <c r="H44" s="190"/>
      <c r="I44" s="190"/>
      <c r="J44" s="190"/>
      <c r="K44" s="190"/>
    </row>
  </sheetData>
  <mergeCells count="14">
    <mergeCell ref="J2:J4"/>
    <mergeCell ref="K2:K4"/>
    <mergeCell ref="A41:K41"/>
    <mergeCell ref="A42:K42"/>
    <mergeCell ref="A1:K1"/>
    <mergeCell ref="A2:A4"/>
    <mergeCell ref="B2:B4"/>
    <mergeCell ref="C2:C4"/>
    <mergeCell ref="D2:D4"/>
    <mergeCell ref="E2:E4"/>
    <mergeCell ref="F2:F4"/>
    <mergeCell ref="G2:G4"/>
    <mergeCell ref="H2:H4"/>
    <mergeCell ref="I2:I4"/>
  </mergeCells>
  <pageMargins left="0.11811023622047245" right="0.11811023622047245" top="0.15748031496062992" bottom="0" header="0.31496062992125984" footer="0"/>
  <pageSetup fitToWidth="0"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43"/>
  <sheetViews>
    <sheetView zoomScale="90" zoomScaleNormal="90" workbookViewId="0">
      <selection activeCell="R39" sqref="R39"/>
    </sheetView>
  </sheetViews>
  <sheetFormatPr defaultRowHeight="13.2"/>
  <cols>
    <col min="1" max="1" width="25.6640625" customWidth="1"/>
    <col min="2" max="2" width="15.33203125" hidden="1" customWidth="1"/>
    <col min="3" max="3" width="10.5546875" style="1" customWidth="1"/>
    <col min="4" max="4" width="11" style="1" customWidth="1"/>
    <col min="5" max="5" width="10.5546875" style="1" customWidth="1"/>
    <col min="6" max="6" width="11.6640625" style="1" customWidth="1"/>
    <col min="7" max="7" width="11.33203125" style="1" customWidth="1"/>
    <col min="8" max="8" width="10" style="1" customWidth="1"/>
    <col min="9" max="9" width="10.33203125" style="1" customWidth="1"/>
    <col min="10" max="10" width="10.44140625" style="1" customWidth="1"/>
    <col min="11" max="11" width="9.44140625" style="1" customWidth="1"/>
    <col min="12" max="12" width="10.109375" customWidth="1"/>
    <col min="13" max="13" width="9.6640625" bestFit="1" customWidth="1"/>
  </cols>
  <sheetData>
    <row r="1" spans="1:14" ht="22.5" customHeight="1">
      <c r="A1" s="299" t="s">
        <v>99</v>
      </c>
      <c r="B1" s="300"/>
      <c r="C1" s="300"/>
      <c r="D1" s="300"/>
      <c r="E1" s="300"/>
      <c r="F1" s="300"/>
      <c r="G1" s="300"/>
      <c r="H1" s="300"/>
      <c r="I1" s="300"/>
      <c r="J1" s="300"/>
      <c r="K1" s="300"/>
    </row>
    <row r="2" spans="1:14" ht="12.75" customHeight="1">
      <c r="A2" s="301"/>
      <c r="B2" s="302" t="s">
        <v>0</v>
      </c>
      <c r="C2" s="292" t="s">
        <v>71</v>
      </c>
      <c r="D2" s="292" t="s">
        <v>1</v>
      </c>
      <c r="E2" s="292" t="s">
        <v>85</v>
      </c>
      <c r="F2" s="292" t="s">
        <v>96</v>
      </c>
      <c r="G2" s="292" t="s">
        <v>69</v>
      </c>
      <c r="H2" s="292" t="s">
        <v>3</v>
      </c>
      <c r="I2" s="292" t="s">
        <v>78</v>
      </c>
      <c r="J2" s="292" t="s">
        <v>84</v>
      </c>
      <c r="K2" s="292" t="s">
        <v>45</v>
      </c>
    </row>
    <row r="3" spans="1:14" ht="12.75" customHeight="1">
      <c r="A3" s="301"/>
      <c r="B3" s="301"/>
      <c r="C3" s="292"/>
      <c r="D3" s="303"/>
      <c r="E3" s="303"/>
      <c r="F3" s="303"/>
      <c r="G3" s="303"/>
      <c r="H3" s="292"/>
      <c r="I3" s="292"/>
      <c r="J3" s="292"/>
      <c r="K3" s="292"/>
    </row>
    <row r="4" spans="1:14" ht="27.75" customHeight="1">
      <c r="A4" s="301"/>
      <c r="B4" s="301"/>
      <c r="C4" s="292"/>
      <c r="D4" s="303"/>
      <c r="E4" s="303"/>
      <c r="F4" s="303"/>
      <c r="G4" s="303"/>
      <c r="H4" s="292"/>
      <c r="I4" s="292"/>
      <c r="J4" s="292"/>
      <c r="K4" s="292"/>
    </row>
    <row r="5" spans="1:14" ht="13.8">
      <c r="A5" s="205" t="s">
        <v>79</v>
      </c>
      <c r="B5" s="206" t="s">
        <v>6</v>
      </c>
      <c r="C5" s="247">
        <v>80</v>
      </c>
      <c r="D5" s="247">
        <v>80</v>
      </c>
      <c r="E5" s="213">
        <v>125</v>
      </c>
      <c r="F5" s="213">
        <v>88</v>
      </c>
      <c r="G5" s="213">
        <v>104</v>
      </c>
      <c r="H5" s="213">
        <v>48</v>
      </c>
      <c r="I5" s="213">
        <v>48</v>
      </c>
      <c r="J5" s="213">
        <v>85</v>
      </c>
      <c r="K5" s="213">
        <v>26.6</v>
      </c>
    </row>
    <row r="6" spans="1:14" ht="17.25" customHeight="1">
      <c r="A6" s="205" t="s">
        <v>70</v>
      </c>
      <c r="B6" s="207"/>
      <c r="C6" s="224"/>
      <c r="D6" s="224"/>
      <c r="E6" s="214"/>
      <c r="F6" s="214">
        <v>5.48</v>
      </c>
      <c r="G6" s="214">
        <v>5.48</v>
      </c>
      <c r="H6" s="214"/>
      <c r="I6" s="214"/>
      <c r="J6" s="214"/>
      <c r="K6" s="214"/>
    </row>
    <row r="7" spans="1:14" ht="17.25" customHeight="1">
      <c r="A7" s="205" t="s">
        <v>53</v>
      </c>
      <c r="B7" s="207" t="s">
        <v>9</v>
      </c>
      <c r="C7" s="224">
        <v>125</v>
      </c>
      <c r="D7" s="224">
        <v>125</v>
      </c>
      <c r="E7" s="214">
        <v>144.21</v>
      </c>
      <c r="F7" s="214">
        <v>60.91</v>
      </c>
      <c r="G7" s="214">
        <v>60.91</v>
      </c>
      <c r="H7" s="214">
        <v>65.260000000000005</v>
      </c>
      <c r="I7" s="214">
        <v>51.48</v>
      </c>
      <c r="J7" s="214">
        <v>88.62</v>
      </c>
      <c r="K7" s="214">
        <v>56.775060860464585</v>
      </c>
    </row>
    <row r="8" spans="1:14" ht="18" customHeight="1">
      <c r="A8" s="205" t="s">
        <v>10</v>
      </c>
      <c r="B8" s="207"/>
      <c r="C8" s="224">
        <v>19.5</v>
      </c>
      <c r="D8" s="224">
        <v>19.5</v>
      </c>
      <c r="E8" s="214">
        <v>16</v>
      </c>
      <c r="F8" s="214">
        <v>16</v>
      </c>
      <c r="G8" s="214">
        <v>16</v>
      </c>
      <c r="H8" s="214">
        <v>12</v>
      </c>
      <c r="I8" s="214">
        <v>20</v>
      </c>
      <c r="J8" s="214">
        <v>26</v>
      </c>
      <c r="K8" s="214"/>
    </row>
    <row r="9" spans="1:14" ht="13.8">
      <c r="A9" s="205" t="s">
        <v>11</v>
      </c>
      <c r="B9" s="207"/>
      <c r="C9" s="224"/>
      <c r="D9" s="224">
        <v>0</v>
      </c>
      <c r="E9" s="214"/>
      <c r="F9" s="214"/>
      <c r="G9" s="214"/>
      <c r="H9" s="214"/>
      <c r="I9" s="214"/>
      <c r="J9" s="214"/>
      <c r="K9" s="214"/>
    </row>
    <row r="10" spans="1:14" ht="15.75" customHeight="1">
      <c r="A10" s="205" t="s">
        <v>46</v>
      </c>
      <c r="B10" s="207" t="s">
        <v>12</v>
      </c>
      <c r="C10" s="224">
        <v>26.5</v>
      </c>
      <c r="D10" s="224">
        <v>7</v>
      </c>
      <c r="E10" s="214">
        <v>30</v>
      </c>
      <c r="F10" s="214">
        <v>66</v>
      </c>
      <c r="G10" s="214">
        <v>20</v>
      </c>
      <c r="H10" s="214">
        <v>12</v>
      </c>
      <c r="I10" s="214">
        <v>12</v>
      </c>
      <c r="J10" s="214">
        <v>12</v>
      </c>
      <c r="K10" s="214">
        <v>24.75</v>
      </c>
    </row>
    <row r="11" spans="1:14" s="79" customFormat="1" ht="16.5" customHeight="1">
      <c r="A11" s="209" t="s">
        <v>80</v>
      </c>
      <c r="B11" s="215"/>
      <c r="C11" s="215">
        <v>251</v>
      </c>
      <c r="D11" s="215">
        <v>231.5</v>
      </c>
      <c r="E11" s="215">
        <v>315.21000000000004</v>
      </c>
      <c r="F11" s="215">
        <v>236.39</v>
      </c>
      <c r="G11" s="215">
        <v>206.39</v>
      </c>
      <c r="H11" s="215">
        <v>137.26</v>
      </c>
      <c r="I11" s="215">
        <v>131.47999999999999</v>
      </c>
      <c r="J11" s="215">
        <v>211.62</v>
      </c>
      <c r="K11" s="216">
        <v>108.12506086046459</v>
      </c>
      <c r="M11" s="79" t="s">
        <v>92</v>
      </c>
      <c r="N11" s="79" t="s">
        <v>93</v>
      </c>
    </row>
    <row r="12" spans="1:14" ht="13.8">
      <c r="A12" s="202" t="s">
        <v>14</v>
      </c>
      <c r="B12" s="210" t="s">
        <v>15</v>
      </c>
      <c r="C12" s="224">
        <v>25</v>
      </c>
      <c r="D12" s="224">
        <v>25</v>
      </c>
      <c r="E12" s="217">
        <v>50</v>
      </c>
      <c r="F12" s="217">
        <v>25</v>
      </c>
      <c r="G12" s="217">
        <v>25</v>
      </c>
      <c r="H12" s="217">
        <v>50</v>
      </c>
      <c r="I12" s="217">
        <v>50</v>
      </c>
      <c r="J12" s="217">
        <v>50</v>
      </c>
      <c r="K12" s="217">
        <v>25</v>
      </c>
      <c r="L12" t="s">
        <v>89</v>
      </c>
      <c r="M12" s="196">
        <v>650</v>
      </c>
      <c r="N12" s="194">
        <f>M12/1014.3</f>
        <v>0.64083604456275267</v>
      </c>
    </row>
    <row r="13" spans="1:14" ht="13.8">
      <c r="A13" s="202" t="s">
        <v>16</v>
      </c>
      <c r="B13" s="210"/>
      <c r="C13" s="224">
        <v>20</v>
      </c>
      <c r="D13" s="224">
        <v>20</v>
      </c>
      <c r="E13" s="217">
        <v>22</v>
      </c>
      <c r="F13" s="217">
        <v>22</v>
      </c>
      <c r="G13" s="217">
        <v>22</v>
      </c>
      <c r="H13" s="217">
        <v>20</v>
      </c>
      <c r="I13" s="217">
        <v>20</v>
      </c>
      <c r="J13" s="217">
        <v>20</v>
      </c>
      <c r="K13" s="217">
        <v>20</v>
      </c>
      <c r="L13" t="s">
        <v>90</v>
      </c>
      <c r="M13" s="196">
        <v>800</v>
      </c>
      <c r="N13" s="194">
        <f>(M13-(242.55*N12))/1146.6</f>
        <v>0.56215351246407153</v>
      </c>
    </row>
    <row r="14" spans="1:14" ht="13.8">
      <c r="A14" s="202" t="s">
        <v>17</v>
      </c>
      <c r="B14" s="210"/>
      <c r="C14" s="224">
        <v>20</v>
      </c>
      <c r="D14" s="224">
        <v>20</v>
      </c>
      <c r="E14" s="217">
        <v>20</v>
      </c>
      <c r="F14" s="217">
        <v>30</v>
      </c>
      <c r="G14" s="217">
        <v>20</v>
      </c>
      <c r="H14" s="217">
        <v>10</v>
      </c>
      <c r="I14" s="217">
        <v>20</v>
      </c>
      <c r="J14" s="217">
        <v>20</v>
      </c>
      <c r="K14" s="217">
        <v>20</v>
      </c>
      <c r="L14" t="s">
        <v>91</v>
      </c>
      <c r="M14" s="196">
        <v>650</v>
      </c>
      <c r="N14" s="194">
        <f>M14/1323</f>
        <v>0.49130763416477702</v>
      </c>
    </row>
    <row r="15" spans="1:14" ht="13.8">
      <c r="A15" s="202" t="s">
        <v>18</v>
      </c>
      <c r="B15" s="210"/>
      <c r="C15" s="224">
        <v>10</v>
      </c>
      <c r="D15" s="224">
        <v>10</v>
      </c>
      <c r="E15" s="217">
        <v>10</v>
      </c>
      <c r="F15" s="217">
        <v>10</v>
      </c>
      <c r="G15" s="217">
        <v>10</v>
      </c>
      <c r="H15" s="217">
        <v>10</v>
      </c>
      <c r="I15" s="217">
        <v>10</v>
      </c>
      <c r="J15" s="217">
        <v>10</v>
      </c>
      <c r="K15" s="217">
        <v>10</v>
      </c>
      <c r="L15" t="s">
        <v>94</v>
      </c>
      <c r="M15" s="196">
        <v>575</v>
      </c>
      <c r="N15" s="195">
        <f>(M15-(463.05*N12))/529.2</f>
        <v>0.52581419041046362</v>
      </c>
    </row>
    <row r="16" spans="1:14" ht="12.75" hidden="1" customHeight="1" thickBot="1">
      <c r="A16" s="202" t="s">
        <v>19</v>
      </c>
      <c r="B16" s="210"/>
      <c r="C16" s="224"/>
      <c r="D16" s="224"/>
      <c r="E16" s="217"/>
      <c r="F16" s="217"/>
      <c r="G16" s="217"/>
      <c r="H16" s="217"/>
      <c r="I16" s="217"/>
      <c r="J16" s="217"/>
      <c r="K16" s="217"/>
    </row>
    <row r="17" spans="1:11" ht="23.25" customHeight="1">
      <c r="A17" s="202" t="s">
        <v>20</v>
      </c>
      <c r="B17" s="210" t="s">
        <v>21</v>
      </c>
      <c r="C17" s="224">
        <v>46</v>
      </c>
      <c r="D17" s="224">
        <v>46</v>
      </c>
      <c r="E17" s="217">
        <v>75</v>
      </c>
      <c r="F17" s="217">
        <v>51</v>
      </c>
      <c r="G17" s="217">
        <v>51</v>
      </c>
      <c r="H17" s="217">
        <v>50</v>
      </c>
      <c r="I17" s="217">
        <v>50</v>
      </c>
      <c r="J17" s="217">
        <v>50</v>
      </c>
      <c r="K17" s="217">
        <v>46</v>
      </c>
    </row>
    <row r="18" spans="1:11" ht="13.8">
      <c r="A18" s="211" t="s">
        <v>81</v>
      </c>
      <c r="B18" s="212"/>
      <c r="C18" s="248">
        <v>121</v>
      </c>
      <c r="D18" s="248">
        <v>121</v>
      </c>
      <c r="E18" s="218">
        <v>177</v>
      </c>
      <c r="F18" s="218">
        <v>138</v>
      </c>
      <c r="G18" s="218">
        <v>128</v>
      </c>
      <c r="H18" s="218">
        <v>140</v>
      </c>
      <c r="I18" s="218">
        <v>150</v>
      </c>
      <c r="J18" s="218">
        <v>150</v>
      </c>
      <c r="K18" s="219">
        <v>121</v>
      </c>
    </row>
    <row r="19" spans="1:11" ht="13.8">
      <c r="A19" s="205" t="s">
        <v>23</v>
      </c>
      <c r="B19" s="208"/>
      <c r="C19" s="224"/>
      <c r="D19" s="224"/>
      <c r="E19" s="214">
        <v>79.2</v>
      </c>
      <c r="F19" s="214">
        <v>0</v>
      </c>
      <c r="G19" s="214">
        <v>0</v>
      </c>
      <c r="H19" s="214"/>
      <c r="I19" s="214"/>
      <c r="J19" s="214"/>
      <c r="K19" s="214"/>
    </row>
    <row r="20" spans="1:11" ht="12" customHeight="1">
      <c r="A20" s="205" t="s">
        <v>68</v>
      </c>
      <c r="B20" s="208"/>
      <c r="C20" s="224">
        <v>17.95</v>
      </c>
      <c r="D20" s="224">
        <v>17.95</v>
      </c>
      <c r="E20" s="214">
        <v>12.4</v>
      </c>
      <c r="F20" s="214">
        <v>9.6</v>
      </c>
      <c r="G20" s="214">
        <v>9.6</v>
      </c>
      <c r="H20" s="214">
        <v>6.5</v>
      </c>
      <c r="I20" s="214">
        <v>6.5</v>
      </c>
      <c r="J20" s="214">
        <v>9.15</v>
      </c>
      <c r="K20" s="214">
        <v>7.7</v>
      </c>
    </row>
    <row r="21" spans="1:11" ht="13.8">
      <c r="A21" s="205" t="s">
        <v>67</v>
      </c>
      <c r="B21" s="208"/>
      <c r="C21" s="224">
        <v>3.85</v>
      </c>
      <c r="D21" s="224">
        <v>3.6</v>
      </c>
      <c r="E21" s="224">
        <v>7.45</v>
      </c>
      <c r="F21" s="224">
        <v>5.65</v>
      </c>
      <c r="G21" s="224">
        <v>5</v>
      </c>
      <c r="H21" s="224">
        <v>2.5500000000000003</v>
      </c>
      <c r="I21" s="224">
        <v>2.5500000000000003</v>
      </c>
      <c r="J21" s="224">
        <v>3.5500000000000003</v>
      </c>
      <c r="K21" s="224">
        <v>2.1</v>
      </c>
    </row>
    <row r="22" spans="1:11" ht="13.8">
      <c r="A22" s="205" t="s">
        <v>42</v>
      </c>
      <c r="B22" s="208"/>
      <c r="C22" s="224">
        <v>3.1</v>
      </c>
      <c r="D22" s="224">
        <v>3.1</v>
      </c>
      <c r="E22" s="214">
        <v>34.9</v>
      </c>
      <c r="F22" s="214">
        <v>11.4</v>
      </c>
      <c r="G22" s="214">
        <v>11.4</v>
      </c>
      <c r="H22" s="214">
        <v>1.95</v>
      </c>
      <c r="I22" s="214">
        <v>2</v>
      </c>
      <c r="J22" s="214">
        <v>1.1499999999999999</v>
      </c>
      <c r="K22" s="214"/>
    </row>
    <row r="23" spans="1:11" s="193" customFormat="1" ht="13.5" customHeight="1">
      <c r="A23" s="269" t="s">
        <v>86</v>
      </c>
      <c r="B23" s="270"/>
      <c r="C23" s="249">
        <v>24.900000000000002</v>
      </c>
      <c r="D23" s="249">
        <v>24.650000000000002</v>
      </c>
      <c r="E23" s="233">
        <v>133.95000000000002</v>
      </c>
      <c r="F23" s="233">
        <v>26.65</v>
      </c>
      <c r="G23" s="233">
        <v>26.65</v>
      </c>
      <c r="H23" s="233">
        <v>11</v>
      </c>
      <c r="I23" s="233">
        <v>11.05</v>
      </c>
      <c r="J23" s="233">
        <v>13.850000000000001</v>
      </c>
      <c r="K23" s="233">
        <v>9.8000000000000007</v>
      </c>
    </row>
    <row r="24" spans="1:11" ht="15.75" customHeight="1">
      <c r="A24" s="229" t="s">
        <v>82</v>
      </c>
      <c r="B24" s="200"/>
      <c r="C24" s="200"/>
      <c r="D24" s="200"/>
      <c r="E24" s="200"/>
      <c r="F24" s="200"/>
      <c r="G24" s="200"/>
      <c r="H24" s="225"/>
      <c r="I24" s="225"/>
      <c r="J24" s="225"/>
      <c r="K24" s="225"/>
    </row>
    <row r="25" spans="1:11" s="193" customFormat="1" ht="13.5" customHeight="1">
      <c r="A25" s="201" t="s">
        <v>55</v>
      </c>
      <c r="B25" s="200"/>
      <c r="C25" s="220"/>
      <c r="D25" s="220"/>
      <c r="E25" s="220">
        <v>0</v>
      </c>
      <c r="F25" s="271">
        <v>0</v>
      </c>
      <c r="G25" s="271">
        <v>0</v>
      </c>
      <c r="H25" s="271">
        <v>67.845280185652868</v>
      </c>
      <c r="I25" s="271">
        <v>59.676921560151385</v>
      </c>
      <c r="J25" s="271">
        <v>59.787004300047784</v>
      </c>
      <c r="K25" s="271">
        <v>21.207419288785747</v>
      </c>
    </row>
    <row r="26" spans="1:11" s="70" customFormat="1" ht="15" customHeight="1">
      <c r="A26" s="201" t="s">
        <v>61</v>
      </c>
      <c r="B26" s="200"/>
      <c r="C26" s="220"/>
      <c r="D26" s="220"/>
      <c r="E26" s="220"/>
      <c r="F26" s="220"/>
      <c r="G26" s="220"/>
      <c r="H26" s="221">
        <v>26</v>
      </c>
      <c r="I26" s="221">
        <v>26</v>
      </c>
      <c r="J26" s="221">
        <v>25</v>
      </c>
      <c r="K26" s="221">
        <v>26</v>
      </c>
    </row>
    <row r="27" spans="1:11" ht="15" hidden="1" customHeight="1">
      <c r="A27" s="229" t="s">
        <v>87</v>
      </c>
      <c r="B27" s="200"/>
      <c r="C27" s="263">
        <v>0</v>
      </c>
      <c r="D27" s="263">
        <v>0</v>
      </c>
      <c r="E27" s="263">
        <v>0</v>
      </c>
      <c r="F27" s="263">
        <v>0</v>
      </c>
      <c r="G27" s="263">
        <v>0</v>
      </c>
      <c r="H27" s="263">
        <v>93.845280185652868</v>
      </c>
      <c r="I27" s="263">
        <v>85.676921560151385</v>
      </c>
      <c r="J27" s="263">
        <v>84.787004300047784</v>
      </c>
      <c r="K27" s="263">
        <v>47.207419288785744</v>
      </c>
    </row>
    <row r="28" spans="1:11" ht="14.25" hidden="1" customHeight="1">
      <c r="A28" s="234" t="s">
        <v>83</v>
      </c>
      <c r="B28" s="227"/>
      <c r="C28" s="228">
        <v>396.9</v>
      </c>
      <c r="D28" s="228">
        <v>377.15</v>
      </c>
      <c r="E28" s="228">
        <v>626.16000000000008</v>
      </c>
      <c r="F28" s="228">
        <v>401.03999999999996</v>
      </c>
      <c r="G28" s="228">
        <v>361.03999999999996</v>
      </c>
      <c r="H28" s="228">
        <v>382.10528018565287</v>
      </c>
      <c r="I28" s="228">
        <v>378.20692156015139</v>
      </c>
      <c r="J28" s="228">
        <v>460.25700430004781</v>
      </c>
      <c r="K28" s="228">
        <v>286.13248014925034</v>
      </c>
    </row>
    <row r="29" spans="1:11" s="179" customFormat="1" ht="14.25" customHeight="1">
      <c r="A29" s="202" t="s">
        <v>64</v>
      </c>
      <c r="B29" s="197"/>
      <c r="C29" s="220" t="s">
        <v>63</v>
      </c>
      <c r="D29" s="220" t="s">
        <v>63</v>
      </c>
      <c r="E29" s="222" t="s">
        <v>31</v>
      </c>
      <c r="F29" s="222" t="s">
        <v>31</v>
      </c>
      <c r="G29" s="222" t="s">
        <v>31</v>
      </c>
      <c r="H29" s="222" t="s">
        <v>31</v>
      </c>
      <c r="I29" s="222" t="s">
        <v>31</v>
      </c>
      <c r="J29" s="222" t="s">
        <v>31</v>
      </c>
      <c r="K29" s="222" t="s">
        <v>63</v>
      </c>
    </row>
    <row r="30" spans="1:11" ht="13.8">
      <c r="A30" s="255" t="s">
        <v>51</v>
      </c>
      <c r="B30" s="230"/>
      <c r="C30" s="253">
        <v>1</v>
      </c>
      <c r="D30" s="253">
        <v>1</v>
      </c>
      <c r="E30" s="254">
        <v>160</v>
      </c>
      <c r="F30" s="254">
        <v>40</v>
      </c>
      <c r="G30" s="254">
        <v>45</v>
      </c>
      <c r="H30" s="254">
        <v>80</v>
      </c>
      <c r="I30" s="254">
        <v>85</v>
      </c>
      <c r="J30" s="254">
        <v>65</v>
      </c>
      <c r="K30" s="254">
        <v>0.6</v>
      </c>
    </row>
    <row r="31" spans="1:11" ht="13.5" customHeight="1">
      <c r="A31" s="211"/>
      <c r="B31" s="256"/>
      <c r="C31" s="257" t="s">
        <v>63</v>
      </c>
      <c r="D31" s="257" t="s">
        <v>63</v>
      </c>
      <c r="E31" s="258" t="s">
        <v>31</v>
      </c>
      <c r="F31" s="258" t="s">
        <v>31</v>
      </c>
      <c r="G31" s="258" t="s">
        <v>31</v>
      </c>
      <c r="H31" s="258" t="s">
        <v>31</v>
      </c>
      <c r="I31" s="258" t="s">
        <v>31</v>
      </c>
      <c r="J31" s="258" t="s">
        <v>31</v>
      </c>
      <c r="K31" s="258" t="s">
        <v>63</v>
      </c>
    </row>
    <row r="32" spans="1:11" ht="19.5" hidden="1" customHeight="1">
      <c r="A32" s="205" t="s">
        <v>88</v>
      </c>
      <c r="B32" s="231"/>
      <c r="C32" s="250">
        <v>482</v>
      </c>
      <c r="D32" s="250">
        <v>482</v>
      </c>
      <c r="E32" s="223">
        <v>4.8899999999999997</v>
      </c>
      <c r="F32" s="223">
        <v>14.78</v>
      </c>
      <c r="G32" s="223">
        <v>11.78</v>
      </c>
      <c r="H32" s="223">
        <v>210</v>
      </c>
      <c r="I32" s="223">
        <v>210</v>
      </c>
      <c r="J32" s="223">
        <v>235</v>
      </c>
      <c r="K32" s="223">
        <v>580</v>
      </c>
    </row>
    <row r="33" spans="1:11" ht="15" customHeight="1">
      <c r="A33" s="211" t="s">
        <v>73</v>
      </c>
      <c r="B33" s="259"/>
      <c r="C33" s="260">
        <v>482</v>
      </c>
      <c r="D33" s="260">
        <v>482</v>
      </c>
      <c r="E33" s="261">
        <v>782.4</v>
      </c>
      <c r="F33" s="261">
        <v>591.19999999999993</v>
      </c>
      <c r="G33" s="261">
        <v>530.1</v>
      </c>
      <c r="H33" s="262">
        <v>365.85365853658533</v>
      </c>
      <c r="I33" s="262">
        <v>307.75862068965517</v>
      </c>
      <c r="J33" s="262">
        <v>415.83861922521987</v>
      </c>
      <c r="K33" s="262">
        <v>348</v>
      </c>
    </row>
    <row r="34" spans="1:11" ht="13.5" customHeight="1">
      <c r="A34" s="226" t="s">
        <v>36</v>
      </c>
      <c r="B34" s="232"/>
      <c r="C34" s="251">
        <v>85.100000000000023</v>
      </c>
      <c r="D34" s="251">
        <v>104.85000000000002</v>
      </c>
      <c r="E34" s="251">
        <v>156.2399999999999</v>
      </c>
      <c r="F34" s="251">
        <v>190.15999999999997</v>
      </c>
      <c r="G34" s="251">
        <v>169.06000000000006</v>
      </c>
      <c r="H34" s="251">
        <v>-16.251621649067545</v>
      </c>
      <c r="I34" s="251">
        <v>-70.448300870496212</v>
      </c>
      <c r="J34" s="251">
        <v>-44.418385074827938</v>
      </c>
      <c r="K34" s="251">
        <v>61.867519850749659</v>
      </c>
    </row>
    <row r="35" spans="1:11" ht="13.5" customHeight="1">
      <c r="A35" s="201" t="s">
        <v>58</v>
      </c>
      <c r="B35" s="235"/>
      <c r="C35" s="236"/>
      <c r="D35" s="236"/>
      <c r="E35" s="237"/>
      <c r="F35" s="237"/>
      <c r="G35" s="237"/>
      <c r="H35" s="237">
        <v>3.6</v>
      </c>
      <c r="I35" s="237">
        <v>3.2</v>
      </c>
      <c r="J35" s="237">
        <v>4.2</v>
      </c>
      <c r="K35" s="236"/>
    </row>
    <row r="36" spans="1:11" ht="18" hidden="1" customHeight="1">
      <c r="A36" s="201" t="s">
        <v>60</v>
      </c>
      <c r="B36" s="235"/>
      <c r="C36" s="238"/>
      <c r="D36" s="238"/>
      <c r="E36" s="239"/>
      <c r="F36" s="239"/>
      <c r="G36" s="239"/>
      <c r="H36" s="240">
        <v>30</v>
      </c>
      <c r="I36" s="240">
        <v>30</v>
      </c>
      <c r="J36" s="240">
        <v>30</v>
      </c>
      <c r="K36" s="238"/>
    </row>
    <row r="37" spans="1:11" ht="15.75" customHeight="1">
      <c r="A37" s="229" t="s">
        <v>74</v>
      </c>
      <c r="B37" s="263"/>
      <c r="C37" s="264">
        <v>0</v>
      </c>
      <c r="D37" s="264">
        <v>0</v>
      </c>
      <c r="E37" s="264">
        <v>0</v>
      </c>
      <c r="F37" s="264">
        <v>0</v>
      </c>
      <c r="G37" s="264">
        <v>0</v>
      </c>
      <c r="H37" s="264">
        <v>108</v>
      </c>
      <c r="I37" s="264">
        <v>96</v>
      </c>
      <c r="J37" s="264">
        <v>126</v>
      </c>
      <c r="K37" s="264">
        <v>0</v>
      </c>
    </row>
    <row r="38" spans="1:11" ht="15.75" customHeight="1">
      <c r="A38" s="226" t="s">
        <v>72</v>
      </c>
      <c r="B38" s="241"/>
      <c r="C38" s="252"/>
      <c r="D38" s="252"/>
      <c r="E38" s="243"/>
      <c r="F38" s="243"/>
      <c r="G38" s="243"/>
      <c r="H38" s="244">
        <v>-2.0969018347204127</v>
      </c>
      <c r="I38" s="244">
        <v>-60.125222430647597</v>
      </c>
      <c r="J38" s="244">
        <v>-3.2053893748757218</v>
      </c>
      <c r="K38" s="242"/>
    </row>
    <row r="39" spans="1:11" ht="18.75" customHeight="1">
      <c r="A39" s="203" t="s">
        <v>77</v>
      </c>
      <c r="B39" s="245"/>
      <c r="C39" s="265">
        <v>89.74</v>
      </c>
      <c r="D39" s="265">
        <v>89.74</v>
      </c>
      <c r="E39" s="204"/>
      <c r="F39" s="204"/>
      <c r="G39" s="204"/>
      <c r="H39" s="204"/>
      <c r="I39" s="204"/>
      <c r="J39" s="204"/>
      <c r="K39" s="265">
        <v>89.74</v>
      </c>
    </row>
    <row r="40" spans="1:11" ht="15.75" customHeight="1">
      <c r="A40" s="266" t="s">
        <v>75</v>
      </c>
      <c r="B40" s="198"/>
      <c r="C40" s="246">
        <v>571.74</v>
      </c>
      <c r="D40" s="246">
        <v>571.74</v>
      </c>
      <c r="E40" s="246">
        <v>782.4</v>
      </c>
      <c r="F40" s="246">
        <v>591.19999999999993</v>
      </c>
      <c r="G40" s="246">
        <v>530.1</v>
      </c>
      <c r="H40" s="246">
        <v>473.85365853658533</v>
      </c>
      <c r="I40" s="246">
        <v>403.75862068965517</v>
      </c>
      <c r="J40" s="246">
        <v>541.83861922521987</v>
      </c>
      <c r="K40" s="246">
        <v>437.74</v>
      </c>
    </row>
    <row r="41" spans="1:11" ht="15.75" customHeight="1">
      <c r="A41" s="267" t="s">
        <v>76</v>
      </c>
      <c r="B41" s="268"/>
      <c r="C41" s="199">
        <v>174.84000000000003</v>
      </c>
      <c r="D41" s="199">
        <v>194.59000000000003</v>
      </c>
      <c r="E41" s="199">
        <v>156.2399999999999</v>
      </c>
      <c r="F41" s="199">
        <v>190.15999999999997</v>
      </c>
      <c r="G41" s="199">
        <v>169.06000000000006</v>
      </c>
      <c r="H41" s="199">
        <v>91.748378350932455</v>
      </c>
      <c r="I41" s="199">
        <v>25.551699129503788</v>
      </c>
      <c r="J41" s="199">
        <v>81.581614925172062</v>
      </c>
      <c r="K41" s="199">
        <v>151.60751985074967</v>
      </c>
    </row>
    <row r="42" spans="1:11" ht="16.5" customHeight="1">
      <c r="A42" s="293" t="s">
        <v>98</v>
      </c>
      <c r="B42" s="294"/>
      <c r="C42" s="294"/>
      <c r="D42" s="294"/>
      <c r="E42" s="294"/>
      <c r="F42" s="294"/>
      <c r="G42" s="294"/>
      <c r="H42" s="294"/>
      <c r="I42" s="294"/>
      <c r="J42" s="294"/>
      <c r="K42" s="295"/>
    </row>
    <row r="43" spans="1:11" ht="16.5" customHeight="1">
      <c r="A43" s="296" t="s">
        <v>97</v>
      </c>
      <c r="B43" s="297"/>
      <c r="C43" s="297"/>
      <c r="D43" s="297"/>
      <c r="E43" s="297"/>
      <c r="F43" s="297"/>
      <c r="G43" s="297"/>
      <c r="H43" s="297"/>
      <c r="I43" s="297"/>
      <c r="J43" s="297"/>
      <c r="K43" s="298"/>
    </row>
  </sheetData>
  <mergeCells count="14">
    <mergeCell ref="A42:K42"/>
    <mergeCell ref="A43:K43"/>
    <mergeCell ref="K2:K4"/>
    <mergeCell ref="J2:J4"/>
    <mergeCell ref="A1:K1"/>
    <mergeCell ref="A2:A4"/>
    <mergeCell ref="B2:B4"/>
    <mergeCell ref="C2:C4"/>
    <mergeCell ref="D2:D4"/>
    <mergeCell ref="E2:E4"/>
    <mergeCell ref="F2:F4"/>
    <mergeCell ref="G2:G4"/>
    <mergeCell ref="H2:H4"/>
    <mergeCell ref="I2:I4"/>
  </mergeCells>
  <pageMargins left="0.11811023622047245" right="0.11811023622047245" top="0.15748031496062992" bottom="0" header="0.31496062992125984" footer="0"/>
  <pageSetup fitToWidth="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2013 Canola budget (2)</vt:lpstr>
      <vt:lpstr>2015 Canola budget</vt:lpstr>
      <vt:lpstr>2021 Crop Budget</vt:lpstr>
      <vt:lpstr>2016 Canola budget</vt:lpstr>
      <vt:lpstr>'2013 Canola budget (2)'!Print_Area</vt:lpstr>
      <vt:lpstr>'2015 Canola budget'!Print_Area</vt:lpstr>
      <vt:lpstr>'2016 Canola budget'!Print_Area</vt:lpstr>
      <vt:lpstr>'2021 Crop Budget'!Print_Area</vt:lpstr>
    </vt:vector>
  </TitlesOfParts>
  <Company>MGS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Hall, Brian (OMAFRA)</dc:creator>
  <cp:lastModifiedBy>Carrie</cp:lastModifiedBy>
  <cp:lastPrinted>2017-12-21T23:27:48Z</cp:lastPrinted>
  <dcterms:created xsi:type="dcterms:W3CDTF">2013-01-02T18:38:31Z</dcterms:created>
  <dcterms:modified xsi:type="dcterms:W3CDTF">2021-03-11T22:37:25Z</dcterms:modified>
</cp:coreProperties>
</file>